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90" yWindow="120" windowWidth="11400" windowHeight="12180"/>
  </bookViews>
  <sheets>
    <sheet name="EXTENSION" sheetId="6" r:id="rId1"/>
    <sheet name="Sheet2" sheetId="7" r:id="rId2"/>
    <sheet name="FEP Calculation" sheetId="8" r:id="rId3"/>
  </sheets>
  <definedNames>
    <definedName name="_xlnm.Print_Area" localSheetId="0">EXTENSION!$A$1:$Q$355</definedName>
  </definedNames>
  <calcPr calcId="145621"/>
</workbook>
</file>

<file path=xl/calcChain.xml><?xml version="1.0" encoding="utf-8"?>
<calcChain xmlns="http://schemas.openxmlformats.org/spreadsheetml/2006/main">
  <c r="H10" i="6" l="1"/>
  <c r="G48" i="6"/>
  <c r="F24" i="6"/>
  <c r="H24" i="6"/>
  <c r="G49" i="6"/>
  <c r="J581" i="6" l="1"/>
  <c r="J582" i="6"/>
  <c r="K349" i="6"/>
  <c r="J349" i="6"/>
  <c r="I349" i="6"/>
  <c r="H349" i="6"/>
  <c r="G349" i="6"/>
  <c r="J578" i="6" l="1"/>
  <c r="J579" i="6"/>
  <c r="J580" i="6"/>
  <c r="J577" i="6"/>
  <c r="I580" i="6"/>
  <c r="I581" i="6"/>
  <c r="I582" i="6"/>
  <c r="I578" i="6"/>
  <c r="I579" i="6"/>
  <c r="I577" i="6"/>
  <c r="H14" i="6" l="1"/>
  <c r="D662" i="6" l="1"/>
  <c r="F664" i="6" l="1"/>
  <c r="G664" i="6"/>
  <c r="F665" i="6"/>
  <c r="G672" i="6"/>
  <c r="G668" i="6"/>
  <c r="F672" i="6"/>
  <c r="F668" i="6"/>
  <c r="G203" i="6" l="1"/>
  <c r="G202" i="6"/>
  <c r="G201" i="6"/>
  <c r="H455" i="6"/>
  <c r="I455" i="6"/>
  <c r="J455" i="6"/>
  <c r="K455" i="6"/>
  <c r="L455" i="6"/>
  <c r="M455" i="6"/>
  <c r="N455" i="6"/>
  <c r="O455" i="6"/>
  <c r="Q455" i="6"/>
  <c r="R455" i="6"/>
  <c r="S455" i="6"/>
  <c r="T455" i="6"/>
  <c r="U455" i="6"/>
  <c r="V455" i="6"/>
  <c r="W455" i="6"/>
  <c r="X455" i="6"/>
  <c r="Y455" i="6"/>
  <c r="M15" i="8"/>
  <c r="L15" i="8"/>
  <c r="P15" i="8" s="1"/>
  <c r="I15" i="8"/>
  <c r="M14" i="8"/>
  <c r="Q14" i="8" s="1"/>
  <c r="R14" i="8" s="1"/>
  <c r="L14" i="8"/>
  <c r="P14" i="8" s="1"/>
  <c r="I14" i="8"/>
  <c r="M13" i="8"/>
  <c r="L13" i="8"/>
  <c r="P13" i="8" s="1"/>
  <c r="I13" i="8"/>
  <c r="M12" i="8"/>
  <c r="Q12" i="8" s="1"/>
  <c r="R12" i="8" s="1"/>
  <c r="L12" i="8"/>
  <c r="P12" i="8" s="1"/>
  <c r="I12" i="8"/>
  <c r="M11" i="8"/>
  <c r="L11" i="8"/>
  <c r="P11" i="8" s="1"/>
  <c r="I11" i="8"/>
  <c r="M10" i="8"/>
  <c r="Q10" i="8" s="1"/>
  <c r="R10" i="8" s="1"/>
  <c r="L10" i="8"/>
  <c r="P10" i="8" s="1"/>
  <c r="I10" i="8"/>
  <c r="I16" i="8" s="1"/>
  <c r="M9" i="8"/>
  <c r="L9" i="8"/>
  <c r="P9" i="8" s="1"/>
  <c r="I9" i="8"/>
  <c r="M8" i="8"/>
  <c r="Q8" i="8" s="1"/>
  <c r="R8" i="8" s="1"/>
  <c r="L8" i="8"/>
  <c r="P8" i="8" s="1"/>
  <c r="I8" i="8"/>
  <c r="M7" i="8"/>
  <c r="L7" i="8"/>
  <c r="P7" i="8" s="1"/>
  <c r="I7" i="8"/>
  <c r="M6" i="8"/>
  <c r="Q6" i="8" s="1"/>
  <c r="R6" i="8" s="1"/>
  <c r="L6" i="8"/>
  <c r="P6" i="8" s="1"/>
  <c r="I6" i="8"/>
  <c r="C6" i="8"/>
  <c r="C7" i="8" s="1"/>
  <c r="C8" i="8" s="1"/>
  <c r="C9" i="8" s="1"/>
  <c r="C10" i="8" s="1"/>
  <c r="C11" i="8" s="1"/>
  <c r="C12" i="8" s="1"/>
  <c r="C13" i="8" s="1"/>
  <c r="I5" i="8"/>
  <c r="Q7" i="8" l="1"/>
  <c r="R7" i="8" s="1"/>
  <c r="Q9" i="8"/>
  <c r="R9" i="8" s="1"/>
  <c r="Q11" i="8"/>
  <c r="R11" i="8" s="1"/>
  <c r="Q13" i="8"/>
  <c r="R13" i="8" s="1"/>
  <c r="Q15" i="8"/>
  <c r="R15" i="8" s="1"/>
  <c r="Y512" i="6"/>
  <c r="X512" i="6"/>
  <c r="W512" i="6"/>
  <c r="V512" i="6"/>
  <c r="U512" i="6"/>
  <c r="T512" i="6"/>
  <c r="S512" i="6"/>
  <c r="R512" i="6"/>
  <c r="Q512" i="6"/>
  <c r="O512" i="6"/>
  <c r="N512" i="6"/>
  <c r="M512" i="6"/>
  <c r="L512" i="6"/>
  <c r="K512" i="6"/>
  <c r="J512" i="6"/>
  <c r="I512" i="6"/>
  <c r="H512" i="6"/>
  <c r="F512" i="6"/>
  <c r="F455" i="6"/>
  <c r="H325" i="6" l="1"/>
  <c r="I325" i="6"/>
  <c r="J325" i="6"/>
  <c r="K325" i="6"/>
  <c r="L325" i="6"/>
  <c r="M325" i="6"/>
  <c r="N325" i="6"/>
  <c r="O325" i="6"/>
  <c r="Q325" i="6"/>
  <c r="R325" i="6"/>
  <c r="S325" i="6"/>
  <c r="T325" i="6"/>
  <c r="U325" i="6"/>
  <c r="V325" i="6"/>
  <c r="W325" i="6"/>
  <c r="X325" i="6"/>
  <c r="Y325" i="6"/>
  <c r="F325" i="6"/>
  <c r="H268" i="6"/>
  <c r="I268" i="6"/>
  <c r="J268" i="6"/>
  <c r="K268" i="6"/>
  <c r="L268" i="6"/>
  <c r="M268" i="6"/>
  <c r="N268" i="6"/>
  <c r="O268" i="6"/>
  <c r="Q268" i="6"/>
  <c r="R268" i="6"/>
  <c r="S268" i="6"/>
  <c r="T268" i="6"/>
  <c r="U268" i="6"/>
  <c r="V268" i="6"/>
  <c r="W268" i="6"/>
  <c r="X268" i="6"/>
  <c r="Y268" i="6"/>
  <c r="F268" i="6"/>
  <c r="H203" i="6"/>
  <c r="I203" i="6" s="1"/>
  <c r="J203" i="6" s="1"/>
  <c r="K203" i="6" s="1"/>
  <c r="G213" i="6"/>
  <c r="H213" i="6" s="1"/>
  <c r="F212" i="6"/>
  <c r="G212" i="6" s="1"/>
  <c r="H212" i="6" s="1"/>
  <c r="I212" i="6" s="1"/>
  <c r="J212" i="6" s="1"/>
  <c r="D173" i="6"/>
  <c r="L203" i="6" l="1"/>
  <c r="M203" i="6" s="1"/>
  <c r="N203" i="6" s="1"/>
  <c r="O203" i="6" s="1"/>
  <c r="P203" i="6" s="1"/>
  <c r="Q203" i="6" s="1"/>
  <c r="R203" i="6" s="1"/>
  <c r="S203" i="6" s="1"/>
  <c r="T203" i="6" s="1"/>
  <c r="U203" i="6" s="1"/>
  <c r="V203" i="6" s="1"/>
  <c r="W203" i="6" s="1"/>
  <c r="X203" i="6" s="1"/>
  <c r="Y203" i="6" s="1"/>
  <c r="Z203" i="6" s="1"/>
  <c r="F214" i="6"/>
  <c r="I213" i="6"/>
  <c r="J213" i="6" s="1"/>
  <c r="K213" i="6" s="1"/>
  <c r="L213" i="6" s="1"/>
  <c r="M213" i="6" s="1"/>
  <c r="N213" i="6" s="1"/>
  <c r="O213" i="6" s="1"/>
  <c r="P213" i="6" s="1"/>
  <c r="Q213" i="6" s="1"/>
  <c r="R213" i="6" s="1"/>
  <c r="S213" i="6" s="1"/>
  <c r="T213" i="6" s="1"/>
  <c r="U213" i="6" s="1"/>
  <c r="V213" i="6" s="1"/>
  <c r="W213" i="6" s="1"/>
  <c r="X213" i="6" s="1"/>
  <c r="Y213" i="6" s="1"/>
  <c r="Z213" i="6" s="1"/>
  <c r="H214" i="6"/>
  <c r="G214" i="6"/>
  <c r="K212" i="6"/>
  <c r="I214" i="6" l="1"/>
  <c r="J214" i="6"/>
  <c r="K214" i="6"/>
  <c r="L212" i="6"/>
  <c r="M212" i="6" l="1"/>
  <c r="L214" i="6"/>
  <c r="M214" i="6" l="1"/>
  <c r="N212" i="6"/>
  <c r="O212" i="6" l="1"/>
  <c r="N214" i="6"/>
  <c r="O214" i="6" l="1"/>
  <c r="P212" i="6"/>
  <c r="Q212" i="6" l="1"/>
  <c r="P214" i="6"/>
  <c r="Q214" i="6" l="1"/>
  <c r="R212" i="6"/>
  <c r="S212" i="6" l="1"/>
  <c r="R214" i="6"/>
  <c r="S214" i="6" l="1"/>
  <c r="T212" i="6"/>
  <c r="U212" i="6" l="1"/>
  <c r="T214" i="6"/>
  <c r="U214" i="6" l="1"/>
  <c r="V212" i="6"/>
  <c r="W212" i="6" l="1"/>
  <c r="V214" i="6"/>
  <c r="W214" i="6" l="1"/>
  <c r="X212" i="6"/>
  <c r="Y212" i="6" l="1"/>
  <c r="X214" i="6"/>
  <c r="Y214" i="6" l="1"/>
  <c r="Z212" i="6"/>
  <c r="Z214" i="6" s="1"/>
  <c r="H202" i="6" l="1"/>
  <c r="H128" i="6" l="1"/>
  <c r="H367" i="6" s="1"/>
  <c r="H129" i="6"/>
  <c r="H368" i="6" s="1"/>
  <c r="H127" i="6"/>
  <c r="H366" i="6" s="1"/>
  <c r="F129" i="6"/>
  <c r="F368" i="6" s="1"/>
  <c r="F128" i="6"/>
  <c r="F367" i="6" s="1"/>
  <c r="F127" i="6"/>
  <c r="F366" i="6" s="1"/>
  <c r="H26" i="6" l="1"/>
  <c r="F26" i="6"/>
  <c r="F147" i="6" l="1"/>
  <c r="F386" i="6" s="1"/>
  <c r="F125" i="6" l="1"/>
  <c r="F364" i="6" s="1"/>
  <c r="F123" i="6"/>
  <c r="F362" i="6" s="1"/>
  <c r="F124" i="6"/>
  <c r="F363" i="6" s="1"/>
  <c r="F122" i="6"/>
  <c r="F361" i="6" s="1"/>
  <c r="F136" i="6"/>
  <c r="F375" i="6" s="1"/>
  <c r="F139" i="6"/>
  <c r="F378" i="6" s="1"/>
  <c r="F138" i="6"/>
  <c r="F377" i="6" s="1"/>
  <c r="F135" i="6"/>
  <c r="F374" i="6" s="1"/>
  <c r="F154" i="6"/>
  <c r="F393" i="6" s="1"/>
  <c r="F153" i="6"/>
  <c r="F392" i="6" s="1"/>
  <c r="F152" i="6"/>
  <c r="F391" i="6" s="1"/>
  <c r="F151" i="6"/>
  <c r="F390" i="6" s="1"/>
  <c r="H113" i="6"/>
  <c r="H151" i="6" s="1"/>
  <c r="H390" i="6" s="1"/>
  <c r="F150" i="6"/>
  <c r="F389" i="6" s="1"/>
  <c r="F149" i="6"/>
  <c r="F388" i="6" s="1"/>
  <c r="F148" i="6"/>
  <c r="F387" i="6" s="1"/>
  <c r="F142" i="6"/>
  <c r="F381" i="6" s="1"/>
  <c r="F143" i="6"/>
  <c r="F382" i="6" s="1"/>
  <c r="F144" i="6"/>
  <c r="F383" i="6" s="1"/>
  <c r="F145" i="6"/>
  <c r="F384" i="6" s="1"/>
  <c r="F146" i="6"/>
  <c r="F141" i="6"/>
  <c r="F380" i="6" s="1"/>
  <c r="F131" i="6"/>
  <c r="F370" i="6" s="1"/>
  <c r="F132" i="6"/>
  <c r="F371" i="6" s="1"/>
  <c r="F133" i="6"/>
  <c r="F372" i="6" s="1"/>
  <c r="F134" i="6"/>
  <c r="F373" i="6" s="1"/>
  <c r="F137" i="6"/>
  <c r="F376" i="6" s="1"/>
  <c r="F120" i="6"/>
  <c r="H112" i="6"/>
  <c r="H111" i="6"/>
  <c r="H148" i="6" s="1"/>
  <c r="H387" i="6" s="1"/>
  <c r="H110" i="6"/>
  <c r="H147" i="6" s="1"/>
  <c r="H386" i="6" s="1"/>
  <c r="H94" i="6"/>
  <c r="H125" i="6" s="1"/>
  <c r="H364" i="6" s="1"/>
  <c r="H93" i="6"/>
  <c r="H124" i="6" s="1"/>
  <c r="H363" i="6" s="1"/>
  <c r="H92" i="6"/>
  <c r="H123" i="6" s="1"/>
  <c r="H362" i="6" s="1"/>
  <c r="H91" i="6"/>
  <c r="H122" i="6" s="1"/>
  <c r="H361" i="6" s="1"/>
  <c r="H107" i="6"/>
  <c r="H101" i="6"/>
  <c r="H132" i="6" s="1"/>
  <c r="H371" i="6" s="1"/>
  <c r="H72" i="6"/>
  <c r="F72" i="6"/>
  <c r="F164" i="6" l="1"/>
  <c r="F359" i="6"/>
  <c r="F403" i="6" s="1"/>
  <c r="F163" i="6"/>
  <c r="F385" i="6"/>
  <c r="F157" i="6"/>
  <c r="F160" i="6"/>
  <c r="H25" i="6"/>
  <c r="F27" i="6"/>
  <c r="H27" i="6"/>
  <c r="F25" i="6"/>
  <c r="F402" i="6" l="1"/>
  <c r="F399" i="6"/>
  <c r="F396" i="6"/>
  <c r="G193" i="6" l="1"/>
  <c r="G194" i="6"/>
  <c r="I202" i="6" l="1"/>
  <c r="F673" i="6"/>
  <c r="J202" i="6" l="1"/>
  <c r="K202" i="6" s="1"/>
  <c r="G673" i="6"/>
  <c r="F669" i="6"/>
  <c r="G669" i="6"/>
  <c r="H664" i="6" l="1"/>
  <c r="H665" i="6" s="1"/>
  <c r="L202" i="6"/>
  <c r="M202" i="6" s="1"/>
  <c r="N202" i="6" s="1"/>
  <c r="O202" i="6" s="1"/>
  <c r="P202" i="6" s="1"/>
  <c r="Q202" i="6" s="1"/>
  <c r="R202" i="6" s="1"/>
  <c r="S202" i="6" s="1"/>
  <c r="T202" i="6" s="1"/>
  <c r="U202" i="6" s="1"/>
  <c r="V202" i="6" s="1"/>
  <c r="W202" i="6" s="1"/>
  <c r="X202" i="6" s="1"/>
  <c r="Y202" i="6" s="1"/>
  <c r="Z202" i="6" s="1"/>
  <c r="H201" i="6"/>
  <c r="G192" i="6"/>
  <c r="F200" i="6" s="1"/>
  <c r="G197" i="6"/>
  <c r="G195" i="6"/>
  <c r="G665" i="6" l="1"/>
  <c r="I201" i="6"/>
  <c r="H82" i="6"/>
  <c r="H69" i="6"/>
  <c r="D184" i="6"/>
  <c r="F187" i="6"/>
  <c r="G534" i="6" s="1"/>
  <c r="J201" i="6" l="1"/>
  <c r="K201" i="6" s="1"/>
  <c r="L201" i="6" l="1"/>
  <c r="M201" i="6" s="1"/>
  <c r="N201" i="6" s="1"/>
  <c r="O201" i="6" s="1"/>
  <c r="P201" i="6" s="1"/>
  <c r="Q201" i="6" s="1"/>
  <c r="R201" i="6" s="1"/>
  <c r="S201" i="6" s="1"/>
  <c r="T201" i="6" s="1"/>
  <c r="U201" i="6" s="1"/>
  <c r="V201" i="6" s="1"/>
  <c r="W201" i="6" s="1"/>
  <c r="X201" i="6" s="1"/>
  <c r="Y201" i="6" s="1"/>
  <c r="Z201" i="6" s="1"/>
  <c r="H195" i="6"/>
  <c r="D186" i="6" l="1"/>
  <c r="G187" i="6"/>
  <c r="H187" i="6"/>
  <c r="I187" i="6"/>
  <c r="J187" i="6"/>
  <c r="D185" i="6"/>
  <c r="H197" i="6"/>
  <c r="I197" i="6" s="1"/>
  <c r="J197" i="6" s="1"/>
  <c r="K197" i="6" s="1"/>
  <c r="L197" i="6" s="1"/>
  <c r="M197" i="6" s="1"/>
  <c r="N197" i="6" s="1"/>
  <c r="O197" i="6" s="1"/>
  <c r="P197" i="6" s="1"/>
  <c r="Q197" i="6" s="1"/>
  <c r="R197" i="6" s="1"/>
  <c r="S197" i="6" s="1"/>
  <c r="T197" i="6" s="1"/>
  <c r="U197" i="6" s="1"/>
  <c r="V197" i="6" s="1"/>
  <c r="W197" i="6" s="1"/>
  <c r="X197" i="6" s="1"/>
  <c r="Y197" i="6" s="1"/>
  <c r="Z197" i="6" s="1"/>
  <c r="G198" i="6"/>
  <c r="F204" i="6"/>
  <c r="F205" i="6"/>
  <c r="F206" i="6"/>
  <c r="F209" i="6"/>
  <c r="H102" i="6"/>
  <c r="H133" i="6" s="1"/>
  <c r="H372" i="6" s="1"/>
  <c r="H103" i="6"/>
  <c r="H134" i="6" s="1"/>
  <c r="H373" i="6" s="1"/>
  <c r="H105" i="6"/>
  <c r="H136" i="6" s="1"/>
  <c r="H375" i="6" s="1"/>
  <c r="H106" i="6"/>
  <c r="H137" i="6" s="1"/>
  <c r="H376" i="6" s="1"/>
  <c r="H108" i="6"/>
  <c r="H109" i="6"/>
  <c r="H114" i="6"/>
  <c r="H115" i="6"/>
  <c r="H153" i="6" s="1"/>
  <c r="H392" i="6" s="1"/>
  <c r="H116" i="6"/>
  <c r="H117" i="6"/>
  <c r="H100" i="6"/>
  <c r="H131" i="6" s="1"/>
  <c r="H370" i="6" s="1"/>
  <c r="H89" i="6"/>
  <c r="H120" i="6" s="1"/>
  <c r="H86" i="6"/>
  <c r="H84" i="6"/>
  <c r="H81" i="6"/>
  <c r="H149" i="6" s="1"/>
  <c r="H388" i="6" s="1"/>
  <c r="H71" i="6"/>
  <c r="H70" i="6"/>
  <c r="H138" i="6" s="1"/>
  <c r="H377" i="6" s="1"/>
  <c r="H67" i="6"/>
  <c r="H164" i="6" l="1"/>
  <c r="H359" i="6"/>
  <c r="H403" i="6" s="1"/>
  <c r="F223" i="6"/>
  <c r="F410" i="6" s="1"/>
  <c r="F230" i="6"/>
  <c r="F417" i="6" s="1"/>
  <c r="F232" i="6"/>
  <c r="F289" i="6"/>
  <c r="F290" i="6"/>
  <c r="F477" i="6" s="1"/>
  <c r="F233" i="6"/>
  <c r="F420" i="6" s="1"/>
  <c r="F225" i="6"/>
  <c r="F283" i="6"/>
  <c r="F282" i="6"/>
  <c r="F226" i="6"/>
  <c r="F413" i="6" s="1"/>
  <c r="G209" i="6"/>
  <c r="H209" i="6" s="1"/>
  <c r="F210" i="6"/>
  <c r="F215" i="6" s="1"/>
  <c r="G204" i="6"/>
  <c r="H139" i="6"/>
  <c r="H378" i="6" s="1"/>
  <c r="F280" i="6"/>
  <c r="H143" i="6"/>
  <c r="H382" i="6" s="1"/>
  <c r="H145" i="6"/>
  <c r="H384" i="6" s="1"/>
  <c r="H141" i="6"/>
  <c r="H380" i="6" s="1"/>
  <c r="H142" i="6"/>
  <c r="H381" i="6" s="1"/>
  <c r="H144" i="6"/>
  <c r="H383" i="6" s="1"/>
  <c r="H146" i="6"/>
  <c r="H150" i="6"/>
  <c r="H389" i="6" s="1"/>
  <c r="H154" i="6"/>
  <c r="H393" i="6" s="1"/>
  <c r="H152" i="6"/>
  <c r="H391" i="6" s="1"/>
  <c r="H198" i="6"/>
  <c r="I198" i="6" s="1"/>
  <c r="J198" i="6" s="1"/>
  <c r="K198" i="6" s="1"/>
  <c r="L198" i="6" s="1"/>
  <c r="M198" i="6" s="1"/>
  <c r="N198" i="6" s="1"/>
  <c r="O198" i="6" s="1"/>
  <c r="P198" i="6" s="1"/>
  <c r="Q198" i="6" s="1"/>
  <c r="R198" i="6" s="1"/>
  <c r="S198" i="6" s="1"/>
  <c r="T198" i="6" s="1"/>
  <c r="U198" i="6" s="1"/>
  <c r="V198" i="6" s="1"/>
  <c r="W198" i="6" s="1"/>
  <c r="X198" i="6" s="1"/>
  <c r="Y198" i="6" s="1"/>
  <c r="Z198" i="6" s="1"/>
  <c r="G208" i="6"/>
  <c r="H534" i="6" s="1"/>
  <c r="D187" i="6"/>
  <c r="E650" i="6" s="1"/>
  <c r="F250" i="6" l="1"/>
  <c r="F437" i="6" s="1"/>
  <c r="F424" i="6"/>
  <c r="F419" i="6"/>
  <c r="H163" i="6"/>
  <c r="G260" i="6" s="1"/>
  <c r="H385" i="6"/>
  <c r="F307" i="6"/>
  <c r="F494" i="6" s="1"/>
  <c r="F467" i="6"/>
  <c r="F318" i="6"/>
  <c r="F505" i="6" s="1"/>
  <c r="F476" i="6"/>
  <c r="F311" i="6"/>
  <c r="F498" i="6" s="1"/>
  <c r="F470" i="6"/>
  <c r="F310" i="6"/>
  <c r="F497" i="6" s="1"/>
  <c r="F469" i="6"/>
  <c r="F427" i="6"/>
  <c r="F253" i="6"/>
  <c r="F440" i="6" s="1"/>
  <c r="F412" i="6"/>
  <c r="F319" i="6"/>
  <c r="F506" i="6" s="1"/>
  <c r="G289" i="6"/>
  <c r="G290" i="6"/>
  <c r="G232" i="6"/>
  <c r="G233" i="6"/>
  <c r="G210" i="6"/>
  <c r="G215" i="6" s="1"/>
  <c r="H160" i="6"/>
  <c r="H157" i="6"/>
  <c r="F297" i="6"/>
  <c r="F296" i="6"/>
  <c r="H208" i="6"/>
  <c r="I534" i="6" s="1"/>
  <c r="I209" i="6"/>
  <c r="G420" i="6" l="1"/>
  <c r="H402" i="6"/>
  <c r="H399" i="6"/>
  <c r="H396" i="6"/>
  <c r="G319" i="6"/>
  <c r="G506" i="6" s="1"/>
  <c r="G477" i="6"/>
  <c r="G318" i="6"/>
  <c r="G505" i="6" s="1"/>
  <c r="G476" i="6"/>
  <c r="F426" i="6"/>
  <c r="G261" i="6"/>
  <c r="G448" i="6" s="1"/>
  <c r="G419" i="6"/>
  <c r="G262" i="6"/>
  <c r="G449" i="6" s="1"/>
  <c r="H210" i="6"/>
  <c r="H215" i="6" s="1"/>
  <c r="J209" i="6"/>
  <c r="I208" i="6"/>
  <c r="I210" i="6" s="1"/>
  <c r="I215" i="6" s="1"/>
  <c r="H104" i="6"/>
  <c r="H135" i="6" s="1"/>
  <c r="H374" i="6" s="1"/>
  <c r="H155" i="6"/>
  <c r="H394" i="6" s="1"/>
  <c r="F155" i="6"/>
  <c r="F394" i="6" s="1"/>
  <c r="H397" i="6" l="1"/>
  <c r="F397" i="6"/>
  <c r="F400" i="6"/>
  <c r="H400" i="6"/>
  <c r="H161" i="6"/>
  <c r="K209" i="6"/>
  <c r="F161" i="6"/>
  <c r="F158" i="6"/>
  <c r="F231" i="6" s="1"/>
  <c r="F234" i="6" s="1"/>
  <c r="H158" i="6"/>
  <c r="J208" i="6"/>
  <c r="K534" i="6" s="1"/>
  <c r="J534" i="6"/>
  <c r="F468" i="6" l="1"/>
  <c r="F475" i="6"/>
  <c r="F411" i="6"/>
  <c r="F418" i="6"/>
  <c r="F224" i="6"/>
  <c r="F227" i="6" s="1"/>
  <c r="J210" i="6"/>
  <c r="J215" i="6" s="1"/>
  <c r="L209" i="6"/>
  <c r="K208" i="6"/>
  <c r="L208" i="6" s="1"/>
  <c r="M208" i="6" s="1"/>
  <c r="N208" i="6" s="1"/>
  <c r="O208" i="6" s="1"/>
  <c r="P208" i="6" s="1"/>
  <c r="Q208" i="6" s="1"/>
  <c r="R208" i="6" s="1"/>
  <c r="S208" i="6" s="1"/>
  <c r="T208" i="6" s="1"/>
  <c r="U208" i="6" s="1"/>
  <c r="V208" i="6" s="1"/>
  <c r="W208" i="6" s="1"/>
  <c r="X208" i="6" s="1"/>
  <c r="Y208" i="6" s="1"/>
  <c r="Z208" i="6" s="1"/>
  <c r="F288" i="6"/>
  <c r="F281" i="6"/>
  <c r="F287" i="6"/>
  <c r="F503" i="6" l="1"/>
  <c r="F495" i="6"/>
  <c r="F471" i="6"/>
  <c r="F316" i="6"/>
  <c r="F291" i="6"/>
  <c r="F308" i="6"/>
  <c r="F312" i="6" s="1"/>
  <c r="F284" i="6"/>
  <c r="F446" i="6"/>
  <c r="F425" i="6"/>
  <c r="F421" i="6"/>
  <c r="F438" i="6"/>
  <c r="F414" i="6"/>
  <c r="F315" i="6"/>
  <c r="F502" i="6" s="1"/>
  <c r="F507" i="6" s="1"/>
  <c r="F474" i="6"/>
  <c r="F481" i="6" s="1"/>
  <c r="F482" i="6"/>
  <c r="F251" i="6"/>
  <c r="F326" i="6"/>
  <c r="F327" i="6"/>
  <c r="M209" i="6"/>
  <c r="L210" i="6"/>
  <c r="L215" i="6" s="1"/>
  <c r="K210" i="6"/>
  <c r="K215" i="6" s="1"/>
  <c r="F294" i="6"/>
  <c r="F295" i="6"/>
  <c r="H193" i="6"/>
  <c r="I193" i="6" s="1"/>
  <c r="J193" i="6" s="1"/>
  <c r="K193" i="6" s="1"/>
  <c r="L193" i="6" s="1"/>
  <c r="M193" i="6" s="1"/>
  <c r="N193" i="6" s="1"/>
  <c r="O193" i="6" s="1"/>
  <c r="P193" i="6" s="1"/>
  <c r="Q193" i="6" s="1"/>
  <c r="R193" i="6" s="1"/>
  <c r="S193" i="6" s="1"/>
  <c r="T193" i="6" s="1"/>
  <c r="U193" i="6" s="1"/>
  <c r="V193" i="6" s="1"/>
  <c r="W193" i="6" s="1"/>
  <c r="X193" i="6" s="1"/>
  <c r="Y193" i="6" s="1"/>
  <c r="Z193" i="6" s="1"/>
  <c r="H194" i="6"/>
  <c r="I194" i="6" s="1"/>
  <c r="J194" i="6" s="1"/>
  <c r="K194" i="6" s="1"/>
  <c r="L194" i="6" s="1"/>
  <c r="M194" i="6" s="1"/>
  <c r="N194" i="6" s="1"/>
  <c r="O194" i="6" s="1"/>
  <c r="P194" i="6" s="1"/>
  <c r="Q194" i="6" s="1"/>
  <c r="R194" i="6" s="1"/>
  <c r="S194" i="6" s="1"/>
  <c r="T194" i="6" s="1"/>
  <c r="U194" i="6" s="1"/>
  <c r="V194" i="6" s="1"/>
  <c r="W194" i="6" s="1"/>
  <c r="X194" i="6" s="1"/>
  <c r="Y194" i="6" s="1"/>
  <c r="Z194" i="6" s="1"/>
  <c r="G205" i="6"/>
  <c r="I195" i="6"/>
  <c r="J195" i="6" s="1"/>
  <c r="K195" i="6" s="1"/>
  <c r="L195" i="6" s="1"/>
  <c r="M195" i="6" s="1"/>
  <c r="N195" i="6" s="1"/>
  <c r="O195" i="6" s="1"/>
  <c r="P195" i="6" s="1"/>
  <c r="Q195" i="6" s="1"/>
  <c r="R195" i="6" s="1"/>
  <c r="S195" i="6" s="1"/>
  <c r="T195" i="6" s="1"/>
  <c r="U195" i="6" s="1"/>
  <c r="V195" i="6" s="1"/>
  <c r="W195" i="6" s="1"/>
  <c r="X195" i="6" s="1"/>
  <c r="Y195" i="6" s="1"/>
  <c r="Z195" i="6" s="1"/>
  <c r="G206" i="6"/>
  <c r="F511" i="6" l="1"/>
  <c r="F478" i="6"/>
  <c r="F320" i="6"/>
  <c r="F328" i="6" s="1"/>
  <c r="G288" i="6"/>
  <c r="G316" i="6" s="1"/>
  <c r="G475" i="6"/>
  <c r="G418" i="6"/>
  <c r="G231" i="6"/>
  <c r="G411" i="6"/>
  <c r="G438" i="6" s="1"/>
  <c r="G468" i="6"/>
  <c r="G495" i="6" s="1"/>
  <c r="G317" i="6"/>
  <c r="G252" i="6"/>
  <c r="G268" i="6" s="1"/>
  <c r="G496" i="6"/>
  <c r="G439" i="6"/>
  <c r="G504" i="6"/>
  <c r="G447" i="6"/>
  <c r="F428" i="6"/>
  <c r="F523" i="6" s="1"/>
  <c r="G309" i="6"/>
  <c r="N209" i="6"/>
  <c r="M210" i="6"/>
  <c r="M215" i="6" s="1"/>
  <c r="G287" i="6"/>
  <c r="G291" i="6" s="1"/>
  <c r="G230" i="6"/>
  <c r="G234" i="6" s="1"/>
  <c r="G280" i="6"/>
  <c r="G281" i="6"/>
  <c r="G223" i="6"/>
  <c r="G224" i="6"/>
  <c r="G251" i="6" s="1"/>
  <c r="H206" i="6"/>
  <c r="H205" i="6"/>
  <c r="H204" i="6"/>
  <c r="G325" i="6" l="1"/>
  <c r="G455" i="6"/>
  <c r="G417" i="6"/>
  <c r="G421" i="6" s="1"/>
  <c r="H288" i="6"/>
  <c r="H316" i="6" s="1"/>
  <c r="H418" i="6"/>
  <c r="H475" i="6"/>
  <c r="H411" i="6"/>
  <c r="H438" i="6" s="1"/>
  <c r="H468" i="6"/>
  <c r="H495" i="6" s="1"/>
  <c r="G503" i="6"/>
  <c r="G511" i="6" s="1"/>
  <c r="G482" i="6"/>
  <c r="G425" i="6"/>
  <c r="G446" i="6"/>
  <c r="G454" i="6" s="1"/>
  <c r="G250" i="6"/>
  <c r="G437" i="6" s="1"/>
  <c r="G410" i="6"/>
  <c r="G307" i="6"/>
  <c r="G467" i="6"/>
  <c r="G315" i="6"/>
  <c r="G502" i="6" s="1"/>
  <c r="G474" i="6"/>
  <c r="G478" i="6" s="1"/>
  <c r="H289" i="6"/>
  <c r="H290" i="6"/>
  <c r="H232" i="6"/>
  <c r="H233" i="6"/>
  <c r="G295" i="6"/>
  <c r="G308" i="6"/>
  <c r="G324" i="6" s="1"/>
  <c r="G258" i="6"/>
  <c r="G237" i="6"/>
  <c r="G259" i="6"/>
  <c r="O209" i="6"/>
  <c r="N210" i="6"/>
  <c r="N215" i="6" s="1"/>
  <c r="G294" i="6"/>
  <c r="G238" i="6"/>
  <c r="H281" i="6"/>
  <c r="H308" i="6" s="1"/>
  <c r="H231" i="6"/>
  <c r="H259" i="6" s="1"/>
  <c r="H224" i="6"/>
  <c r="H251" i="6" s="1"/>
  <c r="I206" i="6"/>
  <c r="I204" i="6"/>
  <c r="I205" i="6"/>
  <c r="H223" i="6"/>
  <c r="G424" i="6" l="1"/>
  <c r="G320" i="6"/>
  <c r="I281" i="6"/>
  <c r="I308" i="6" s="1"/>
  <c r="I418" i="6"/>
  <c r="I475" i="6"/>
  <c r="I468" i="6"/>
  <c r="I495" i="6" s="1"/>
  <c r="I411" i="6"/>
  <c r="I438" i="6" s="1"/>
  <c r="H425" i="6"/>
  <c r="H446" i="6"/>
  <c r="H454" i="6" s="1"/>
  <c r="H503" i="6"/>
  <c r="H511" i="6" s="1"/>
  <c r="H482" i="6"/>
  <c r="H250" i="6"/>
  <c r="H437" i="6" s="1"/>
  <c r="H410" i="6"/>
  <c r="G323" i="6"/>
  <c r="G494" i="6"/>
  <c r="G266" i="6"/>
  <c r="G445" i="6"/>
  <c r="G453" i="6" s="1"/>
  <c r="H319" i="6"/>
  <c r="H506" i="6" s="1"/>
  <c r="H477" i="6"/>
  <c r="H318" i="6"/>
  <c r="H505" i="6" s="1"/>
  <c r="H476" i="6"/>
  <c r="H261" i="6"/>
  <c r="H448" i="6" s="1"/>
  <c r="H419" i="6"/>
  <c r="H262" i="6"/>
  <c r="H449" i="6" s="1"/>
  <c r="H420" i="6"/>
  <c r="I290" i="6"/>
  <c r="I289" i="6"/>
  <c r="I232" i="6"/>
  <c r="I233" i="6"/>
  <c r="G263" i="6"/>
  <c r="G267" i="6"/>
  <c r="P209" i="6"/>
  <c r="O210" i="6"/>
  <c r="O215" i="6" s="1"/>
  <c r="I288" i="6"/>
  <c r="H295" i="6"/>
  <c r="H238" i="6"/>
  <c r="I231" i="6"/>
  <c r="I259" i="6" s="1"/>
  <c r="I224" i="6"/>
  <c r="I251" i="6" s="1"/>
  <c r="J206" i="6"/>
  <c r="J205" i="6"/>
  <c r="I223" i="6"/>
  <c r="J204" i="6"/>
  <c r="I425" i="6" l="1"/>
  <c r="I446" i="6"/>
  <c r="I454" i="6" s="1"/>
  <c r="I482" i="6"/>
  <c r="I503" i="6"/>
  <c r="I511" i="6" s="1"/>
  <c r="J288" i="6"/>
  <c r="J316" i="6" s="1"/>
  <c r="J468" i="6"/>
  <c r="J495" i="6" s="1"/>
  <c r="J411" i="6"/>
  <c r="J438" i="6" s="1"/>
  <c r="J418" i="6"/>
  <c r="J475" i="6"/>
  <c r="G450" i="6"/>
  <c r="I250" i="6"/>
  <c r="I437" i="6" s="1"/>
  <c r="I410" i="6"/>
  <c r="I318" i="6"/>
  <c r="I505" i="6" s="1"/>
  <c r="I476" i="6"/>
  <c r="I319" i="6"/>
  <c r="I506" i="6" s="1"/>
  <c r="I477" i="6"/>
  <c r="I261" i="6"/>
  <c r="I448" i="6" s="1"/>
  <c r="I419" i="6"/>
  <c r="I262" i="6"/>
  <c r="I449" i="6" s="1"/>
  <c r="I420" i="6"/>
  <c r="J290" i="6"/>
  <c r="J319" i="6" s="1"/>
  <c r="J289" i="6"/>
  <c r="J318" i="6" s="1"/>
  <c r="J232" i="6"/>
  <c r="J233" i="6"/>
  <c r="I295" i="6"/>
  <c r="I316" i="6"/>
  <c r="H324" i="6"/>
  <c r="H267" i="6"/>
  <c r="Q209" i="6"/>
  <c r="P210" i="6"/>
  <c r="P215" i="6" s="1"/>
  <c r="I238" i="6"/>
  <c r="J281" i="6"/>
  <c r="J308" i="6" s="1"/>
  <c r="J231" i="6"/>
  <c r="J259" i="6" s="1"/>
  <c r="J224" i="6"/>
  <c r="J251" i="6" s="1"/>
  <c r="K206" i="6"/>
  <c r="K204" i="6"/>
  <c r="K205" i="6"/>
  <c r="J223" i="6"/>
  <c r="J261" i="6" l="1"/>
  <c r="J448" i="6" s="1"/>
  <c r="K288" i="6"/>
  <c r="K316" i="6" s="1"/>
  <c r="K468" i="6"/>
  <c r="K495" i="6" s="1"/>
  <c r="K411" i="6"/>
  <c r="K438" i="6" s="1"/>
  <c r="K475" i="6"/>
  <c r="K418" i="6"/>
  <c r="J250" i="6"/>
  <c r="J437" i="6" s="1"/>
  <c r="J410" i="6"/>
  <c r="J446" i="6"/>
  <c r="J454" i="6" s="1"/>
  <c r="J425" i="6"/>
  <c r="J503" i="6"/>
  <c r="J511" i="6" s="1"/>
  <c r="J482" i="6"/>
  <c r="J506" i="6"/>
  <c r="J477" i="6"/>
  <c r="J505" i="6"/>
  <c r="J476" i="6"/>
  <c r="J419" i="6"/>
  <c r="J262" i="6"/>
  <c r="J449" i="6" s="1"/>
  <c r="J420" i="6"/>
  <c r="K290" i="6"/>
  <c r="K319" i="6" s="1"/>
  <c r="K289" i="6"/>
  <c r="K232" i="6"/>
  <c r="K233" i="6"/>
  <c r="I324" i="6"/>
  <c r="I267" i="6"/>
  <c r="R209" i="6"/>
  <c r="Q210" i="6"/>
  <c r="Q215" i="6" s="1"/>
  <c r="J295" i="6"/>
  <c r="J238" i="6"/>
  <c r="K281" i="6"/>
  <c r="K308" i="6" s="1"/>
  <c r="K231" i="6"/>
  <c r="K259" i="6" s="1"/>
  <c r="K224" i="6"/>
  <c r="K251" i="6" s="1"/>
  <c r="L206" i="6"/>
  <c r="H230" i="6"/>
  <c r="H234" i="6" s="1"/>
  <c r="I230" i="6"/>
  <c r="I234" i="6" s="1"/>
  <c r="J230" i="6"/>
  <c r="J417" i="6" s="1"/>
  <c r="L205" i="6"/>
  <c r="K230" i="6"/>
  <c r="K417" i="6" s="1"/>
  <c r="K223" i="6"/>
  <c r="L204" i="6"/>
  <c r="K234" i="6" l="1"/>
  <c r="J234" i="6"/>
  <c r="I417" i="6"/>
  <c r="I424" i="6" s="1"/>
  <c r="H417" i="6"/>
  <c r="H424" i="6" s="1"/>
  <c r="K419" i="6"/>
  <c r="J424" i="6"/>
  <c r="K503" i="6"/>
  <c r="K511" i="6" s="1"/>
  <c r="K482" i="6"/>
  <c r="K250" i="6"/>
  <c r="K437" i="6" s="1"/>
  <c r="K410" i="6"/>
  <c r="K424" i="6" s="1"/>
  <c r="L288" i="6"/>
  <c r="L316" i="6" s="1"/>
  <c r="L468" i="6"/>
  <c r="L495" i="6" s="1"/>
  <c r="L411" i="6"/>
  <c r="L438" i="6" s="1"/>
  <c r="L475" i="6"/>
  <c r="L418" i="6"/>
  <c r="K446" i="6"/>
  <c r="K454" i="6" s="1"/>
  <c r="K425" i="6"/>
  <c r="K506" i="6"/>
  <c r="K477" i="6"/>
  <c r="K318" i="6"/>
  <c r="K505" i="6" s="1"/>
  <c r="K476" i="6"/>
  <c r="K261" i="6"/>
  <c r="K448" i="6" s="1"/>
  <c r="J421" i="6"/>
  <c r="K262" i="6"/>
  <c r="K449" i="6" s="1"/>
  <c r="K420" i="6"/>
  <c r="L290" i="6"/>
  <c r="L319" i="6" s="1"/>
  <c r="L289" i="6"/>
  <c r="L232" i="6"/>
  <c r="L233" i="6"/>
  <c r="I258" i="6"/>
  <c r="K258" i="6"/>
  <c r="K445" i="6" s="1"/>
  <c r="J258" i="6"/>
  <c r="H258" i="6"/>
  <c r="H445" i="6" s="1"/>
  <c r="H453" i="6" s="1"/>
  <c r="J324" i="6"/>
  <c r="J267" i="6"/>
  <c r="S209" i="6"/>
  <c r="R210" i="6"/>
  <c r="R215" i="6" s="1"/>
  <c r="I237" i="6"/>
  <c r="J237" i="6"/>
  <c r="H237" i="6"/>
  <c r="K295" i="6"/>
  <c r="K238" i="6"/>
  <c r="K237" i="6"/>
  <c r="L281" i="6"/>
  <c r="L231" i="6"/>
  <c r="L259" i="6" s="1"/>
  <c r="L224" i="6"/>
  <c r="L251" i="6" s="1"/>
  <c r="M206" i="6"/>
  <c r="M204" i="6"/>
  <c r="M205" i="6"/>
  <c r="L230" i="6"/>
  <c r="L417" i="6" s="1"/>
  <c r="L223" i="6"/>
  <c r="C17" i="7"/>
  <c r="C6" i="7"/>
  <c r="C7" i="7"/>
  <c r="C8" i="7"/>
  <c r="C9" i="7"/>
  <c r="C10" i="7"/>
  <c r="C11" i="7"/>
  <c r="C12" i="7"/>
  <c r="C13" i="7"/>
  <c r="C14" i="7"/>
  <c r="C5" i="7"/>
  <c r="L234" i="6" l="1"/>
  <c r="I421" i="6"/>
  <c r="H421" i="6"/>
  <c r="K453" i="6"/>
  <c r="J263" i="6"/>
  <c r="J445" i="6"/>
  <c r="J453" i="6" s="1"/>
  <c r="I263" i="6"/>
  <c r="I445" i="6"/>
  <c r="I453" i="6" s="1"/>
  <c r="L446" i="6"/>
  <c r="L454" i="6" s="1"/>
  <c r="L425" i="6"/>
  <c r="L250" i="6"/>
  <c r="L437" i="6" s="1"/>
  <c r="L410" i="6"/>
  <c r="L424" i="6" s="1"/>
  <c r="M288" i="6"/>
  <c r="M316" i="6" s="1"/>
  <c r="M411" i="6"/>
  <c r="M438" i="6" s="1"/>
  <c r="M468" i="6"/>
  <c r="M495" i="6" s="1"/>
  <c r="M418" i="6"/>
  <c r="M475" i="6"/>
  <c r="L503" i="6"/>
  <c r="L511" i="6" s="1"/>
  <c r="L482" i="6"/>
  <c r="L318" i="6"/>
  <c r="L505" i="6" s="1"/>
  <c r="L476" i="6"/>
  <c r="L506" i="6"/>
  <c r="L477" i="6"/>
  <c r="K263" i="6"/>
  <c r="K421" i="6"/>
  <c r="L261" i="6"/>
  <c r="L448" i="6" s="1"/>
  <c r="L419" i="6"/>
  <c r="L262" i="6"/>
  <c r="L449" i="6" s="1"/>
  <c r="L420" i="6"/>
  <c r="M290" i="6"/>
  <c r="M289" i="6"/>
  <c r="M232" i="6"/>
  <c r="M233" i="6"/>
  <c r="L295" i="6"/>
  <c r="L308" i="6"/>
  <c r="J266" i="6"/>
  <c r="H263" i="6"/>
  <c r="H266" i="6"/>
  <c r="I266" i="6"/>
  <c r="L258" i="6"/>
  <c r="K324" i="6"/>
  <c r="K267" i="6"/>
  <c r="K266" i="6"/>
  <c r="T209" i="6"/>
  <c r="S210" i="6"/>
  <c r="S215" i="6" s="1"/>
  <c r="L237" i="6"/>
  <c r="L238" i="6"/>
  <c r="M281" i="6"/>
  <c r="M308" i="6" s="1"/>
  <c r="M231" i="6"/>
  <c r="M259" i="6" s="1"/>
  <c r="M224" i="6"/>
  <c r="M251" i="6" s="1"/>
  <c r="N206" i="6"/>
  <c r="N205" i="6"/>
  <c r="M230" i="6"/>
  <c r="M417" i="6" s="1"/>
  <c r="M223" i="6"/>
  <c r="N204" i="6"/>
  <c r="M234" i="6" l="1"/>
  <c r="N288" i="6"/>
  <c r="N316" i="6" s="1"/>
  <c r="N411" i="6"/>
  <c r="N438" i="6" s="1"/>
  <c r="N468" i="6"/>
  <c r="N495" i="6" s="1"/>
  <c r="N418" i="6"/>
  <c r="N475" i="6"/>
  <c r="M250" i="6"/>
  <c r="M437" i="6" s="1"/>
  <c r="M410" i="6"/>
  <c r="M424" i="6" s="1"/>
  <c r="M503" i="6"/>
  <c r="M511" i="6" s="1"/>
  <c r="M482" i="6"/>
  <c r="L263" i="6"/>
  <c r="L445" i="6"/>
  <c r="L453" i="6" s="1"/>
  <c r="M446" i="6"/>
  <c r="M454" i="6" s="1"/>
  <c r="M425" i="6"/>
  <c r="M318" i="6"/>
  <c r="M505" i="6" s="1"/>
  <c r="M476" i="6"/>
  <c r="M319" i="6"/>
  <c r="M506" i="6" s="1"/>
  <c r="M477" i="6"/>
  <c r="L421" i="6"/>
  <c r="M261" i="6"/>
  <c r="M448" i="6" s="1"/>
  <c r="M419" i="6"/>
  <c r="M262" i="6"/>
  <c r="M449" i="6" s="1"/>
  <c r="M420" i="6"/>
  <c r="N290" i="6"/>
  <c r="N289" i="6"/>
  <c r="N232" i="6"/>
  <c r="N233" i="6"/>
  <c r="M258" i="6"/>
  <c r="L324" i="6"/>
  <c r="L267" i="6"/>
  <c r="L266" i="6"/>
  <c r="U209" i="6"/>
  <c r="T210" i="6"/>
  <c r="T215" i="6" s="1"/>
  <c r="M237" i="6"/>
  <c r="M238" i="6"/>
  <c r="M295" i="6"/>
  <c r="N281" i="6"/>
  <c r="N308" i="6" s="1"/>
  <c r="N231" i="6"/>
  <c r="N259" i="6" s="1"/>
  <c r="N224" i="6"/>
  <c r="N251" i="6" s="1"/>
  <c r="O206" i="6"/>
  <c r="O205" i="6"/>
  <c r="N230" i="6"/>
  <c r="N417" i="6" s="1"/>
  <c r="N223" i="6"/>
  <c r="O204" i="6"/>
  <c r="N234" i="6" l="1"/>
  <c r="N250" i="6"/>
  <c r="N437" i="6" s="1"/>
  <c r="N410" i="6"/>
  <c r="N424" i="6" s="1"/>
  <c r="M263" i="6"/>
  <c r="M445" i="6"/>
  <c r="M453" i="6" s="1"/>
  <c r="N446" i="6"/>
  <c r="N454" i="6" s="1"/>
  <c r="N425" i="6"/>
  <c r="O288" i="6"/>
  <c r="O316" i="6" s="1"/>
  <c r="O468" i="6"/>
  <c r="O495" i="6" s="1"/>
  <c r="O411" i="6"/>
  <c r="O438" i="6" s="1"/>
  <c r="O418" i="6"/>
  <c r="O475" i="6"/>
  <c r="N503" i="6"/>
  <c r="N511" i="6" s="1"/>
  <c r="N482" i="6"/>
  <c r="N319" i="6"/>
  <c r="N506" i="6" s="1"/>
  <c r="N477" i="6"/>
  <c r="N318" i="6"/>
  <c r="N505" i="6" s="1"/>
  <c r="N476" i="6"/>
  <c r="M421" i="6"/>
  <c r="N261" i="6"/>
  <c r="N448" i="6" s="1"/>
  <c r="N419" i="6"/>
  <c r="N262" i="6"/>
  <c r="N449" i="6" s="1"/>
  <c r="N420" i="6"/>
  <c r="O290" i="6"/>
  <c r="O289" i="6"/>
  <c r="O232" i="6"/>
  <c r="O233" i="6"/>
  <c r="N258" i="6"/>
  <c r="N445" i="6" s="1"/>
  <c r="M324" i="6"/>
  <c r="M267" i="6"/>
  <c r="M266" i="6"/>
  <c r="V209" i="6"/>
  <c r="U210" i="6"/>
  <c r="U215" i="6" s="1"/>
  <c r="N295" i="6"/>
  <c r="N237" i="6"/>
  <c r="N238" i="6"/>
  <c r="O281" i="6"/>
  <c r="O231" i="6"/>
  <c r="O259" i="6" s="1"/>
  <c r="O224" i="6"/>
  <c r="O251" i="6" s="1"/>
  <c r="P206" i="6"/>
  <c r="P204" i="6"/>
  <c r="P205" i="6"/>
  <c r="O230" i="6"/>
  <c r="O223" i="6"/>
  <c r="H287" i="6"/>
  <c r="H291" i="6" s="1"/>
  <c r="H280" i="6"/>
  <c r="H467" i="6" s="1"/>
  <c r="O234" i="6" l="1"/>
  <c r="N453" i="6"/>
  <c r="P317" i="6"/>
  <c r="P496" i="6"/>
  <c r="P439" i="6"/>
  <c r="P447" i="6"/>
  <c r="P504" i="6"/>
  <c r="O250" i="6"/>
  <c r="O437" i="6" s="1"/>
  <c r="O410" i="6"/>
  <c r="H315" i="6"/>
  <c r="H502" i="6" s="1"/>
  <c r="H474" i="6"/>
  <c r="H478" i="6" s="1"/>
  <c r="O258" i="6"/>
  <c r="O445" i="6" s="1"/>
  <c r="O417" i="6"/>
  <c r="O424" i="6" s="1"/>
  <c r="O503" i="6"/>
  <c r="O511" i="6" s="1"/>
  <c r="O482" i="6"/>
  <c r="P288" i="6"/>
  <c r="P316" i="6" s="1"/>
  <c r="P468" i="6"/>
  <c r="P495" i="6" s="1"/>
  <c r="P411" i="6"/>
  <c r="P438" i="6" s="1"/>
  <c r="P418" i="6"/>
  <c r="P475" i="6"/>
  <c r="O446" i="6"/>
  <c r="O454" i="6" s="1"/>
  <c r="O425" i="6"/>
  <c r="O319" i="6"/>
  <c r="O506" i="6" s="1"/>
  <c r="O477" i="6"/>
  <c r="O318" i="6"/>
  <c r="O505" i="6" s="1"/>
  <c r="O476" i="6"/>
  <c r="N263" i="6"/>
  <c r="N421" i="6"/>
  <c r="O262" i="6"/>
  <c r="O449" i="6" s="1"/>
  <c r="O420" i="6"/>
  <c r="O261" i="6"/>
  <c r="O448" i="6" s="1"/>
  <c r="O419" i="6"/>
  <c r="P290" i="6"/>
  <c r="P289" i="6"/>
  <c r="P232" i="6"/>
  <c r="P233" i="6"/>
  <c r="P260" i="6"/>
  <c r="O295" i="6"/>
  <c r="O308" i="6"/>
  <c r="P309" i="6"/>
  <c r="H307" i="6"/>
  <c r="H494" i="6" s="1"/>
  <c r="P252" i="6"/>
  <c r="N324" i="6"/>
  <c r="N267" i="6"/>
  <c r="N266" i="6"/>
  <c r="W209" i="6"/>
  <c r="V210" i="6"/>
  <c r="V215" i="6" s="1"/>
  <c r="H294" i="6"/>
  <c r="O237" i="6"/>
  <c r="O238" i="6"/>
  <c r="P281" i="6"/>
  <c r="P308" i="6" s="1"/>
  <c r="P231" i="6"/>
  <c r="P259" i="6" s="1"/>
  <c r="P224" i="6"/>
  <c r="P251" i="6" s="1"/>
  <c r="Q206" i="6"/>
  <c r="Q205" i="6"/>
  <c r="P230" i="6"/>
  <c r="P417" i="6" s="1"/>
  <c r="P223" i="6"/>
  <c r="Q204" i="6"/>
  <c r="O453" i="6" l="1"/>
  <c r="P234" i="6"/>
  <c r="P325" i="6"/>
  <c r="H320" i="6"/>
  <c r="P455" i="6"/>
  <c r="Q288" i="6"/>
  <c r="Q316" i="6" s="1"/>
  <c r="Q468" i="6"/>
  <c r="Q495" i="6" s="1"/>
  <c r="Q411" i="6"/>
  <c r="Q438" i="6" s="1"/>
  <c r="Q475" i="6"/>
  <c r="Q418" i="6"/>
  <c r="P503" i="6"/>
  <c r="P511" i="6" s="1"/>
  <c r="P482" i="6"/>
  <c r="P250" i="6"/>
  <c r="P437" i="6" s="1"/>
  <c r="P410" i="6"/>
  <c r="P424" i="6" s="1"/>
  <c r="P446" i="6"/>
  <c r="P454" i="6" s="1"/>
  <c r="P425" i="6"/>
  <c r="H510" i="6"/>
  <c r="P319" i="6"/>
  <c r="P506" i="6" s="1"/>
  <c r="P477" i="6"/>
  <c r="P318" i="6"/>
  <c r="P505" i="6" s="1"/>
  <c r="P476" i="6"/>
  <c r="O263" i="6"/>
  <c r="O421" i="6"/>
  <c r="P261" i="6"/>
  <c r="P448" i="6" s="1"/>
  <c r="P419" i="6"/>
  <c r="P262" i="6"/>
  <c r="P449" i="6" s="1"/>
  <c r="P420" i="6"/>
  <c r="Q290" i="6"/>
  <c r="Q289" i="6"/>
  <c r="Q232" i="6"/>
  <c r="Q233" i="6"/>
  <c r="P268" i="6"/>
  <c r="H323" i="6"/>
  <c r="P258" i="6"/>
  <c r="P445" i="6" s="1"/>
  <c r="O324" i="6"/>
  <c r="O267" i="6"/>
  <c r="O266" i="6"/>
  <c r="X209" i="6"/>
  <c r="W210" i="6"/>
  <c r="W215" i="6" s="1"/>
  <c r="P295" i="6"/>
  <c r="P237" i="6"/>
  <c r="P238" i="6"/>
  <c r="Q281" i="6"/>
  <c r="Q308" i="6" s="1"/>
  <c r="Q231" i="6"/>
  <c r="Q259" i="6" s="1"/>
  <c r="Q224" i="6"/>
  <c r="Q251" i="6" s="1"/>
  <c r="R206" i="6"/>
  <c r="R204" i="6"/>
  <c r="R205" i="6"/>
  <c r="Q230" i="6"/>
  <c r="Q223" i="6"/>
  <c r="I287" i="6"/>
  <c r="I280" i="6"/>
  <c r="I467" i="6" s="1"/>
  <c r="I474" i="6" l="1"/>
  <c r="I478" i="6" s="1"/>
  <c r="I291" i="6"/>
  <c r="Q234" i="6"/>
  <c r="P453" i="6"/>
  <c r="Q446" i="6"/>
  <c r="Q454" i="6" s="1"/>
  <c r="Q425" i="6"/>
  <c r="Q258" i="6"/>
  <c r="Q445" i="6" s="1"/>
  <c r="Q417" i="6"/>
  <c r="Q250" i="6"/>
  <c r="Q437" i="6" s="1"/>
  <c r="Q410" i="6"/>
  <c r="R288" i="6"/>
  <c r="R316" i="6" s="1"/>
  <c r="R411" i="6"/>
  <c r="R438" i="6" s="1"/>
  <c r="R468" i="6"/>
  <c r="R495" i="6" s="1"/>
  <c r="R418" i="6"/>
  <c r="R475" i="6"/>
  <c r="Q503" i="6"/>
  <c r="Q511" i="6" s="1"/>
  <c r="Q482" i="6"/>
  <c r="Q318" i="6"/>
  <c r="Q505" i="6" s="1"/>
  <c r="Q476" i="6"/>
  <c r="Q319" i="6"/>
  <c r="Q506" i="6" s="1"/>
  <c r="Q477" i="6"/>
  <c r="P263" i="6"/>
  <c r="P421" i="6"/>
  <c r="Q262" i="6"/>
  <c r="Q449" i="6" s="1"/>
  <c r="Q420" i="6"/>
  <c r="Q261" i="6"/>
  <c r="Q448" i="6" s="1"/>
  <c r="Q419" i="6"/>
  <c r="I315" i="6"/>
  <c r="R290" i="6"/>
  <c r="R289" i="6"/>
  <c r="R232" i="6"/>
  <c r="R233" i="6"/>
  <c r="I307" i="6"/>
  <c r="I494" i="6" s="1"/>
  <c r="P324" i="6"/>
  <c r="P267" i="6"/>
  <c r="P266" i="6"/>
  <c r="Y209" i="6"/>
  <c r="X210" i="6"/>
  <c r="X215" i="6" s="1"/>
  <c r="I294" i="6"/>
  <c r="Q295" i="6"/>
  <c r="Q238" i="6"/>
  <c r="Q237" i="6"/>
  <c r="R281" i="6"/>
  <c r="R231" i="6"/>
  <c r="R259" i="6" s="1"/>
  <c r="R224" i="6"/>
  <c r="R251" i="6" s="1"/>
  <c r="S206" i="6"/>
  <c r="S205" i="6"/>
  <c r="R230" i="6"/>
  <c r="R417" i="6" s="1"/>
  <c r="R223" i="6"/>
  <c r="S204" i="6"/>
  <c r="J287" i="6"/>
  <c r="J280" i="6"/>
  <c r="J467" i="6" s="1"/>
  <c r="J474" i="6" l="1"/>
  <c r="J478" i="6" s="1"/>
  <c r="J291" i="6"/>
  <c r="R234" i="6"/>
  <c r="S288" i="6"/>
  <c r="S316" i="6" s="1"/>
  <c r="S411" i="6"/>
  <c r="S438" i="6" s="1"/>
  <c r="S468" i="6"/>
  <c r="S495" i="6" s="1"/>
  <c r="S418" i="6"/>
  <c r="S475" i="6"/>
  <c r="I320" i="6"/>
  <c r="I502" i="6"/>
  <c r="R446" i="6"/>
  <c r="R454" i="6" s="1"/>
  <c r="R425" i="6"/>
  <c r="Q424" i="6"/>
  <c r="R250" i="6"/>
  <c r="R437" i="6" s="1"/>
  <c r="R410" i="6"/>
  <c r="R424" i="6" s="1"/>
  <c r="R503" i="6"/>
  <c r="R511" i="6" s="1"/>
  <c r="R482" i="6"/>
  <c r="Q453" i="6"/>
  <c r="R318" i="6"/>
  <c r="R505" i="6" s="1"/>
  <c r="R476" i="6"/>
  <c r="R319" i="6"/>
  <c r="R506" i="6" s="1"/>
  <c r="R477" i="6"/>
  <c r="Q263" i="6"/>
  <c r="Q421" i="6"/>
  <c r="R261" i="6"/>
  <c r="R448" i="6" s="1"/>
  <c r="R419" i="6"/>
  <c r="R262" i="6"/>
  <c r="R449" i="6" s="1"/>
  <c r="R420" i="6"/>
  <c r="S290" i="6"/>
  <c r="S289" i="6"/>
  <c r="S232" i="6"/>
  <c r="S233" i="6"/>
  <c r="R295" i="6"/>
  <c r="R308" i="6"/>
  <c r="J315" i="6"/>
  <c r="J307" i="6"/>
  <c r="J494" i="6" s="1"/>
  <c r="I323" i="6"/>
  <c r="R258" i="6"/>
  <c r="R445" i="6" s="1"/>
  <c r="Q324" i="6"/>
  <c r="Q266" i="6"/>
  <c r="Q267" i="6"/>
  <c r="Z209" i="6"/>
  <c r="Z210" i="6" s="1"/>
  <c r="Z215" i="6" s="1"/>
  <c r="Y210" i="6"/>
  <c r="Y215" i="6" s="1"/>
  <c r="J294" i="6"/>
  <c r="R237" i="6"/>
  <c r="R238" i="6"/>
  <c r="S281" i="6"/>
  <c r="S308" i="6" s="1"/>
  <c r="S231" i="6"/>
  <c r="S259" i="6" s="1"/>
  <c r="S224" i="6"/>
  <c r="S251" i="6" s="1"/>
  <c r="T206" i="6"/>
  <c r="T204" i="6"/>
  <c r="T205" i="6"/>
  <c r="S230" i="6"/>
  <c r="S223" i="6"/>
  <c r="K280" i="6"/>
  <c r="K467" i="6" s="1"/>
  <c r="K287" i="6"/>
  <c r="K474" i="6" l="1"/>
  <c r="K478" i="6" s="1"/>
  <c r="K291" i="6"/>
  <c r="S234" i="6"/>
  <c r="R453" i="6"/>
  <c r="S250" i="6"/>
  <c r="S437" i="6" s="1"/>
  <c r="S410" i="6"/>
  <c r="S258" i="6"/>
  <c r="S445" i="6" s="1"/>
  <c r="S417" i="6"/>
  <c r="S503" i="6"/>
  <c r="S511" i="6" s="1"/>
  <c r="S482" i="6"/>
  <c r="T288" i="6"/>
  <c r="T316" i="6" s="1"/>
  <c r="T411" i="6"/>
  <c r="T438" i="6" s="1"/>
  <c r="T468" i="6"/>
  <c r="T495" i="6" s="1"/>
  <c r="T418" i="6"/>
  <c r="T475" i="6"/>
  <c r="J320" i="6"/>
  <c r="J502" i="6"/>
  <c r="J507" i="6" s="1"/>
  <c r="S446" i="6"/>
  <c r="S454" i="6" s="1"/>
  <c r="S425" i="6"/>
  <c r="S318" i="6"/>
  <c r="S505" i="6" s="1"/>
  <c r="S476" i="6"/>
  <c r="S319" i="6"/>
  <c r="S506" i="6" s="1"/>
  <c r="S477" i="6"/>
  <c r="R263" i="6"/>
  <c r="R421" i="6"/>
  <c r="S261" i="6"/>
  <c r="S448" i="6" s="1"/>
  <c r="S419" i="6"/>
  <c r="S262" i="6"/>
  <c r="S449" i="6" s="1"/>
  <c r="S420" i="6"/>
  <c r="T290" i="6"/>
  <c r="T289" i="6"/>
  <c r="T232" i="6"/>
  <c r="T233" i="6"/>
  <c r="K315" i="6"/>
  <c r="K307" i="6"/>
  <c r="K494" i="6" s="1"/>
  <c r="J323" i="6"/>
  <c r="R324" i="6"/>
  <c r="R267" i="6"/>
  <c r="R266" i="6"/>
  <c r="K294" i="6"/>
  <c r="S238" i="6"/>
  <c r="S295" i="6"/>
  <c r="S237" i="6"/>
  <c r="T281" i="6"/>
  <c r="T308" i="6" s="1"/>
  <c r="T231" i="6"/>
  <c r="T259" i="6" s="1"/>
  <c r="T224" i="6"/>
  <c r="T251" i="6" s="1"/>
  <c r="U206" i="6"/>
  <c r="U205" i="6"/>
  <c r="T230" i="6"/>
  <c r="T417" i="6" s="1"/>
  <c r="T223" i="6"/>
  <c r="U204" i="6"/>
  <c r="L287" i="6"/>
  <c r="L280" i="6"/>
  <c r="L467" i="6" s="1"/>
  <c r="L474" i="6" l="1"/>
  <c r="L478" i="6" s="1"/>
  <c r="L291" i="6"/>
  <c r="T234" i="6"/>
  <c r="S453" i="6"/>
  <c r="S424" i="6"/>
  <c r="T250" i="6"/>
  <c r="T437" i="6" s="1"/>
  <c r="T410" i="6"/>
  <c r="T424" i="6" s="1"/>
  <c r="K320" i="6"/>
  <c r="K502" i="6"/>
  <c r="T503" i="6"/>
  <c r="T511" i="6" s="1"/>
  <c r="T482" i="6"/>
  <c r="U288" i="6"/>
  <c r="U316" i="6" s="1"/>
  <c r="U468" i="6"/>
  <c r="U495" i="6" s="1"/>
  <c r="U411" i="6"/>
  <c r="U438" i="6" s="1"/>
  <c r="U418" i="6"/>
  <c r="U475" i="6"/>
  <c r="T446" i="6"/>
  <c r="T454" i="6" s="1"/>
  <c r="T425" i="6"/>
  <c r="T318" i="6"/>
  <c r="T505" i="6" s="1"/>
  <c r="T476" i="6"/>
  <c r="T319" i="6"/>
  <c r="T506" i="6" s="1"/>
  <c r="T477" i="6"/>
  <c r="S263" i="6"/>
  <c r="S421" i="6"/>
  <c r="T261" i="6"/>
  <c r="T448" i="6" s="1"/>
  <c r="T419" i="6"/>
  <c r="T262" i="6"/>
  <c r="T449" i="6" s="1"/>
  <c r="T420" i="6"/>
  <c r="U290" i="6"/>
  <c r="U289" i="6"/>
  <c r="U232" i="6"/>
  <c r="U233" i="6"/>
  <c r="L315" i="6"/>
  <c r="L307" i="6"/>
  <c r="L494" i="6" s="1"/>
  <c r="K323" i="6"/>
  <c r="T267" i="6"/>
  <c r="T258" i="6"/>
  <c r="S324" i="6"/>
  <c r="S267" i="6"/>
  <c r="S266" i="6"/>
  <c r="T237" i="6"/>
  <c r="L294" i="6"/>
  <c r="T295" i="6"/>
  <c r="T238" i="6"/>
  <c r="U281" i="6"/>
  <c r="U231" i="6"/>
  <c r="U259" i="6" s="1"/>
  <c r="U224" i="6"/>
  <c r="U251" i="6" s="1"/>
  <c r="V206" i="6"/>
  <c r="V204" i="6"/>
  <c r="V205" i="6"/>
  <c r="U230" i="6"/>
  <c r="U223" i="6"/>
  <c r="M287" i="6"/>
  <c r="M280" i="6"/>
  <c r="M467" i="6" s="1"/>
  <c r="M474" i="6" l="1"/>
  <c r="M478" i="6" s="1"/>
  <c r="M291" i="6"/>
  <c r="U234" i="6"/>
  <c r="U250" i="6"/>
  <c r="U437" i="6" s="1"/>
  <c r="U410" i="6"/>
  <c r="V288" i="6"/>
  <c r="V316" i="6" s="1"/>
  <c r="V468" i="6"/>
  <c r="V495" i="6" s="1"/>
  <c r="V411" i="6"/>
  <c r="V438" i="6" s="1"/>
  <c r="V418" i="6"/>
  <c r="V475" i="6"/>
  <c r="U446" i="6"/>
  <c r="U454" i="6" s="1"/>
  <c r="U425" i="6"/>
  <c r="U258" i="6"/>
  <c r="U445" i="6" s="1"/>
  <c r="U417" i="6"/>
  <c r="T263" i="6"/>
  <c r="T445" i="6"/>
  <c r="T453" i="6" s="1"/>
  <c r="L320" i="6"/>
  <c r="L502" i="6"/>
  <c r="U503" i="6"/>
  <c r="U511" i="6" s="1"/>
  <c r="U482" i="6"/>
  <c r="U318" i="6"/>
  <c r="U505" i="6" s="1"/>
  <c r="U476" i="6"/>
  <c r="U319" i="6"/>
  <c r="U506" i="6" s="1"/>
  <c r="U477" i="6"/>
  <c r="T421" i="6"/>
  <c r="U261" i="6"/>
  <c r="U448" i="6" s="1"/>
  <c r="U419" i="6"/>
  <c r="U262" i="6"/>
  <c r="U449" i="6" s="1"/>
  <c r="U420" i="6"/>
  <c r="V290" i="6"/>
  <c r="V289" i="6"/>
  <c r="V232" i="6"/>
  <c r="V233" i="6"/>
  <c r="U295" i="6"/>
  <c r="U308" i="6"/>
  <c r="M315" i="6"/>
  <c r="M307" i="6"/>
  <c r="M494" i="6" s="1"/>
  <c r="L323" i="6"/>
  <c r="T324" i="6"/>
  <c r="T266" i="6"/>
  <c r="M294" i="6"/>
  <c r="U238" i="6"/>
  <c r="U237" i="6"/>
  <c r="V281" i="6"/>
  <c r="V308" i="6" s="1"/>
  <c r="V231" i="6"/>
  <c r="V259" i="6" s="1"/>
  <c r="V224" i="6"/>
  <c r="V251" i="6" s="1"/>
  <c r="W206" i="6"/>
  <c r="W205" i="6"/>
  <c r="V230" i="6"/>
  <c r="V417" i="6" s="1"/>
  <c r="V223" i="6"/>
  <c r="W204" i="6"/>
  <c r="N287" i="6"/>
  <c r="N280" i="6"/>
  <c r="N467" i="6" s="1"/>
  <c r="N474" i="6" l="1"/>
  <c r="N478" i="6" s="1"/>
  <c r="N291" i="6"/>
  <c r="V234" i="6"/>
  <c r="U424" i="6"/>
  <c r="U453" i="6"/>
  <c r="V446" i="6"/>
  <c r="V454" i="6" s="1"/>
  <c r="V425" i="6"/>
  <c r="W288" i="6"/>
  <c r="W316" i="6" s="1"/>
  <c r="W468" i="6"/>
  <c r="W495" i="6" s="1"/>
  <c r="W411" i="6"/>
  <c r="W438" i="6" s="1"/>
  <c r="W475" i="6"/>
  <c r="W418" i="6"/>
  <c r="V250" i="6"/>
  <c r="V437" i="6" s="1"/>
  <c r="V410" i="6"/>
  <c r="V424" i="6" s="1"/>
  <c r="M320" i="6"/>
  <c r="M502" i="6"/>
  <c r="V503" i="6"/>
  <c r="V511" i="6" s="1"/>
  <c r="V482" i="6"/>
  <c r="V319" i="6"/>
  <c r="V506" i="6" s="1"/>
  <c r="V477" i="6"/>
  <c r="V318" i="6"/>
  <c r="V505" i="6" s="1"/>
  <c r="V476" i="6"/>
  <c r="U263" i="6"/>
  <c r="U421" i="6"/>
  <c r="V261" i="6"/>
  <c r="V448" i="6" s="1"/>
  <c r="V419" i="6"/>
  <c r="V262" i="6"/>
  <c r="V449" i="6" s="1"/>
  <c r="V420" i="6"/>
  <c r="W290" i="6"/>
  <c r="W289" i="6"/>
  <c r="W232" i="6"/>
  <c r="W233" i="6"/>
  <c r="N315" i="6"/>
  <c r="N307" i="6"/>
  <c r="N494" i="6" s="1"/>
  <c r="M323" i="6"/>
  <c r="V258" i="6"/>
  <c r="V445" i="6" s="1"/>
  <c r="U324" i="6"/>
  <c r="U266" i="6"/>
  <c r="U267" i="6"/>
  <c r="N294" i="6"/>
  <c r="V295" i="6"/>
  <c r="V237" i="6"/>
  <c r="V238" i="6"/>
  <c r="W281" i="6"/>
  <c r="W308" i="6" s="1"/>
  <c r="W231" i="6"/>
  <c r="W259" i="6" s="1"/>
  <c r="W224" i="6"/>
  <c r="W251" i="6" s="1"/>
  <c r="X206" i="6"/>
  <c r="X204" i="6"/>
  <c r="X205" i="6"/>
  <c r="W230" i="6"/>
  <c r="W223" i="6"/>
  <c r="O280" i="6"/>
  <c r="O467" i="6" s="1"/>
  <c r="O287" i="6"/>
  <c r="V453" i="6" l="1"/>
  <c r="O474" i="6"/>
  <c r="O478" i="6" s="1"/>
  <c r="O291" i="6"/>
  <c r="W234" i="6"/>
  <c r="W419" i="6"/>
  <c r="W258" i="6"/>
  <c r="W445" i="6" s="1"/>
  <c r="W417" i="6"/>
  <c r="W503" i="6"/>
  <c r="W511" i="6" s="1"/>
  <c r="W482" i="6"/>
  <c r="W250" i="6"/>
  <c r="W437" i="6" s="1"/>
  <c r="W410" i="6"/>
  <c r="X288" i="6"/>
  <c r="X316" i="6" s="1"/>
  <c r="X468" i="6"/>
  <c r="X495" i="6" s="1"/>
  <c r="X411" i="6"/>
  <c r="X438" i="6" s="1"/>
  <c r="X475" i="6"/>
  <c r="X418" i="6"/>
  <c r="N320" i="6"/>
  <c r="N502" i="6"/>
  <c r="W446" i="6"/>
  <c r="W454" i="6" s="1"/>
  <c r="W425" i="6"/>
  <c r="W318" i="6"/>
  <c r="W505" i="6" s="1"/>
  <c r="W476" i="6"/>
  <c r="W319" i="6"/>
  <c r="W506" i="6" s="1"/>
  <c r="W477" i="6"/>
  <c r="V263" i="6"/>
  <c r="W261" i="6"/>
  <c r="W448" i="6" s="1"/>
  <c r="V421" i="6"/>
  <c r="W262" i="6"/>
  <c r="W449" i="6" s="1"/>
  <c r="W420" i="6"/>
  <c r="X290" i="6"/>
  <c r="X289" i="6"/>
  <c r="X232" i="6"/>
  <c r="X233" i="6"/>
  <c r="O315" i="6"/>
  <c r="N323" i="6"/>
  <c r="O307" i="6"/>
  <c r="O494" i="6" s="1"/>
  <c r="V324" i="6"/>
  <c r="V267" i="6"/>
  <c r="V266" i="6"/>
  <c r="O294" i="6"/>
  <c r="W238" i="6"/>
  <c r="W295" i="6"/>
  <c r="W237" i="6"/>
  <c r="X281" i="6"/>
  <c r="X231" i="6"/>
  <c r="X259" i="6" s="1"/>
  <c r="X224" i="6"/>
  <c r="X251" i="6" s="1"/>
  <c r="Y206" i="6"/>
  <c r="Y205" i="6"/>
  <c r="X230" i="6"/>
  <c r="X417" i="6" s="1"/>
  <c r="X223" i="6"/>
  <c r="Y204" i="6"/>
  <c r="P287" i="6"/>
  <c r="P280" i="6"/>
  <c r="P467" i="6" s="1"/>
  <c r="P474" i="6" l="1"/>
  <c r="P478" i="6" s="1"/>
  <c r="P291" i="6"/>
  <c r="X234" i="6"/>
  <c r="X420" i="6"/>
  <c r="Y288" i="6"/>
  <c r="Y316" i="6" s="1"/>
  <c r="Y411" i="6"/>
  <c r="Y438" i="6" s="1"/>
  <c r="Y468" i="6"/>
  <c r="Y495" i="6" s="1"/>
  <c r="Y475" i="6"/>
  <c r="Y418" i="6"/>
  <c r="X503" i="6"/>
  <c r="X511" i="6" s="1"/>
  <c r="X482" i="6"/>
  <c r="W424" i="6"/>
  <c r="X250" i="6"/>
  <c r="X437" i="6" s="1"/>
  <c r="X410" i="6"/>
  <c r="X424" i="6" s="1"/>
  <c r="O320" i="6"/>
  <c r="O502" i="6"/>
  <c r="X446" i="6"/>
  <c r="X454" i="6" s="1"/>
  <c r="X425" i="6"/>
  <c r="W453" i="6"/>
  <c r="X319" i="6"/>
  <c r="X506" i="6" s="1"/>
  <c r="X477" i="6"/>
  <c r="X318" i="6"/>
  <c r="X505" i="6" s="1"/>
  <c r="X476" i="6"/>
  <c r="X262" i="6"/>
  <c r="X449" i="6" s="1"/>
  <c r="W263" i="6"/>
  <c r="W421" i="6"/>
  <c r="X261" i="6"/>
  <c r="X448" i="6" s="1"/>
  <c r="X419" i="6"/>
  <c r="Y290" i="6"/>
  <c r="Y289" i="6"/>
  <c r="Y232" i="6"/>
  <c r="Y233" i="6"/>
  <c r="X295" i="6"/>
  <c r="X308" i="6"/>
  <c r="P315" i="6"/>
  <c r="P307" i="6"/>
  <c r="P494" i="6" s="1"/>
  <c r="O323" i="6"/>
  <c r="X258" i="6"/>
  <c r="X445" i="6" s="1"/>
  <c r="W324" i="6"/>
  <c r="W267" i="6"/>
  <c r="W266" i="6"/>
  <c r="P294" i="6"/>
  <c r="X237" i="6"/>
  <c r="X238" i="6"/>
  <c r="Y281" i="6"/>
  <c r="Y308" i="6" s="1"/>
  <c r="Y231" i="6"/>
  <c r="Y259" i="6" s="1"/>
  <c r="Y224" i="6"/>
  <c r="Y251" i="6" s="1"/>
  <c r="Z206" i="6"/>
  <c r="Z204" i="6"/>
  <c r="Z205" i="6"/>
  <c r="Y230" i="6"/>
  <c r="Y223" i="6"/>
  <c r="Q287" i="6"/>
  <c r="Q280" i="6"/>
  <c r="Q467" i="6" s="1"/>
  <c r="Q474" i="6" l="1"/>
  <c r="Q478" i="6" s="1"/>
  <c r="Q291" i="6"/>
  <c r="Y234" i="6"/>
  <c r="Y420" i="6"/>
  <c r="X453" i="6"/>
  <c r="Y258" i="6"/>
  <c r="Y445" i="6" s="1"/>
  <c r="Y417" i="6"/>
  <c r="P320" i="6"/>
  <c r="P502" i="6"/>
  <c r="Y446" i="6"/>
  <c r="Y454" i="6" s="1"/>
  <c r="Y425" i="6"/>
  <c r="Y250" i="6"/>
  <c r="Y437" i="6" s="1"/>
  <c r="Y410" i="6"/>
  <c r="Z317" i="6"/>
  <c r="Z496" i="6"/>
  <c r="Z439" i="6"/>
  <c r="Z504" i="6"/>
  <c r="Z447" i="6"/>
  <c r="Z288" i="6"/>
  <c r="Z316" i="6" s="1"/>
  <c r="Z411" i="6"/>
  <c r="Z438" i="6" s="1"/>
  <c r="Z468" i="6"/>
  <c r="Z495" i="6" s="1"/>
  <c r="Z418" i="6"/>
  <c r="Z475" i="6"/>
  <c r="Y503" i="6"/>
  <c r="Y511" i="6" s="1"/>
  <c r="Y482" i="6"/>
  <c r="Y262" i="6"/>
  <c r="Y449" i="6" s="1"/>
  <c r="Y319" i="6"/>
  <c r="Y506" i="6" s="1"/>
  <c r="Y477" i="6"/>
  <c r="Y318" i="6"/>
  <c r="Y505" i="6" s="1"/>
  <c r="Y476" i="6"/>
  <c r="X263" i="6"/>
  <c r="X421" i="6"/>
  <c r="Y261" i="6"/>
  <c r="Y448" i="6" s="1"/>
  <c r="Y419" i="6"/>
  <c r="Z290" i="6"/>
  <c r="Z289" i="6"/>
  <c r="Z232" i="6"/>
  <c r="Z233" i="6"/>
  <c r="Z260" i="6"/>
  <c r="Z309" i="6"/>
  <c r="Q315" i="6"/>
  <c r="P323" i="6"/>
  <c r="Q307" i="6"/>
  <c r="Q494" i="6" s="1"/>
  <c r="Z252" i="6"/>
  <c r="X324" i="6"/>
  <c r="X267" i="6"/>
  <c r="X266" i="6"/>
  <c r="Y238" i="6"/>
  <c r="Q294" i="6"/>
  <c r="Y295" i="6"/>
  <c r="Y237" i="6"/>
  <c r="Z281" i="6"/>
  <c r="Z308" i="6" s="1"/>
  <c r="Z231" i="6"/>
  <c r="Z259" i="6" s="1"/>
  <c r="Z224" i="6"/>
  <c r="Z251" i="6" s="1"/>
  <c r="Z230" i="6"/>
  <c r="Z417" i="6" s="1"/>
  <c r="Z223" i="6"/>
  <c r="R287" i="6"/>
  <c r="R280" i="6"/>
  <c r="R467" i="6" s="1"/>
  <c r="R474" i="6" l="1"/>
  <c r="R478" i="6" s="1"/>
  <c r="R291" i="6"/>
  <c r="Z234" i="6"/>
  <c r="Z455" i="6"/>
  <c r="Z325" i="6"/>
  <c r="Q320" i="6"/>
  <c r="Q502" i="6"/>
  <c r="Z446" i="6"/>
  <c r="Z454" i="6" s="1"/>
  <c r="Z425" i="6"/>
  <c r="Y424" i="6"/>
  <c r="Z250" i="6"/>
  <c r="Z437" i="6" s="1"/>
  <c r="Z410" i="6"/>
  <c r="Z424" i="6" s="1"/>
  <c r="Z503" i="6"/>
  <c r="Z511" i="6" s="1"/>
  <c r="Z482" i="6"/>
  <c r="Y453" i="6"/>
  <c r="Y263" i="6"/>
  <c r="Z318" i="6"/>
  <c r="Z505" i="6" s="1"/>
  <c r="Z476" i="6"/>
  <c r="Z319" i="6"/>
  <c r="Z506" i="6" s="1"/>
  <c r="Z477" i="6"/>
  <c r="Y421" i="6"/>
  <c r="Z261" i="6"/>
  <c r="Z448" i="6" s="1"/>
  <c r="Z419" i="6"/>
  <c r="Z262" i="6"/>
  <c r="Z449" i="6" s="1"/>
  <c r="Z420" i="6"/>
  <c r="Z268" i="6"/>
  <c r="R315" i="6"/>
  <c r="R307" i="6"/>
  <c r="R494" i="6" s="1"/>
  <c r="Q323" i="6"/>
  <c r="Z258" i="6"/>
  <c r="Z445" i="6" s="1"/>
  <c r="Y324" i="6"/>
  <c r="Y267" i="6"/>
  <c r="Y266" i="6"/>
  <c r="Z295" i="6"/>
  <c r="R294" i="6"/>
  <c r="Z237" i="6"/>
  <c r="Z238" i="6"/>
  <c r="S287" i="6"/>
  <c r="S280" i="6"/>
  <c r="S467" i="6" s="1"/>
  <c r="Z453" i="6" l="1"/>
  <c r="S474" i="6"/>
  <c r="S478" i="6" s="1"/>
  <c r="S291" i="6"/>
  <c r="R320" i="6"/>
  <c r="R502" i="6"/>
  <c r="Z421" i="6"/>
  <c r="Z263" i="6"/>
  <c r="S315" i="6"/>
  <c r="S307" i="6"/>
  <c r="S494" i="6" s="1"/>
  <c r="R323" i="6"/>
  <c r="Z324" i="6"/>
  <c r="Z267" i="6"/>
  <c r="Z266" i="6"/>
  <c r="S294" i="6"/>
  <c r="T287" i="6"/>
  <c r="T280" i="6"/>
  <c r="T467" i="6" s="1"/>
  <c r="T474" i="6" l="1"/>
  <c r="T478" i="6" s="1"/>
  <c r="T291" i="6"/>
  <c r="S320" i="6"/>
  <c r="S502" i="6"/>
  <c r="T315" i="6"/>
  <c r="T307" i="6"/>
  <c r="T494" i="6" s="1"/>
  <c r="S323" i="6"/>
  <c r="T294" i="6"/>
  <c r="U287" i="6"/>
  <c r="U280" i="6"/>
  <c r="U467" i="6" s="1"/>
  <c r="U474" i="6" l="1"/>
  <c r="U478" i="6" s="1"/>
  <c r="U291" i="6"/>
  <c r="T320" i="6"/>
  <c r="T502" i="6"/>
  <c r="U315" i="6"/>
  <c r="U307" i="6"/>
  <c r="U494" i="6" s="1"/>
  <c r="T323" i="6"/>
  <c r="U294" i="6"/>
  <c r="V287" i="6"/>
  <c r="V280" i="6"/>
  <c r="V467" i="6" s="1"/>
  <c r="V474" i="6" l="1"/>
  <c r="V478" i="6" s="1"/>
  <c r="V291" i="6"/>
  <c r="U320" i="6"/>
  <c r="U502" i="6"/>
  <c r="V315" i="6"/>
  <c r="U323" i="6"/>
  <c r="V307" i="6"/>
  <c r="V494" i="6" s="1"/>
  <c r="V294" i="6"/>
  <c r="W287" i="6"/>
  <c r="W280" i="6"/>
  <c r="W467" i="6" s="1"/>
  <c r="W474" i="6" l="1"/>
  <c r="W478" i="6" s="1"/>
  <c r="W291" i="6"/>
  <c r="V320" i="6"/>
  <c r="V502" i="6"/>
  <c r="W315" i="6"/>
  <c r="V323" i="6"/>
  <c r="W307" i="6"/>
  <c r="W494" i="6" s="1"/>
  <c r="W294" i="6"/>
  <c r="X287" i="6"/>
  <c r="X280" i="6"/>
  <c r="X467" i="6" s="1"/>
  <c r="X474" i="6" l="1"/>
  <c r="X478" i="6" s="1"/>
  <c r="X291" i="6"/>
  <c r="W320" i="6"/>
  <c r="W502" i="6"/>
  <c r="X315" i="6"/>
  <c r="W323" i="6"/>
  <c r="X307" i="6"/>
  <c r="X494" i="6" s="1"/>
  <c r="X294" i="6"/>
  <c r="Y287" i="6"/>
  <c r="Y280" i="6"/>
  <c r="Y467" i="6" s="1"/>
  <c r="Y474" i="6" l="1"/>
  <c r="Y478" i="6" s="1"/>
  <c r="Y291" i="6"/>
  <c r="X320" i="6"/>
  <c r="X502" i="6"/>
  <c r="Y315" i="6"/>
  <c r="X323" i="6"/>
  <c r="Y307" i="6"/>
  <c r="Y494" i="6" s="1"/>
  <c r="Y294" i="6"/>
  <c r="Z287" i="6"/>
  <c r="Z280" i="6"/>
  <c r="Z467" i="6" s="1"/>
  <c r="Z474" i="6" l="1"/>
  <c r="Z478" i="6" s="1"/>
  <c r="Z291" i="6"/>
  <c r="Y320" i="6"/>
  <c r="Y502" i="6"/>
  <c r="Z315" i="6"/>
  <c r="Y323" i="6"/>
  <c r="Z307" i="6"/>
  <c r="Z494" i="6" s="1"/>
  <c r="Z294" i="6"/>
  <c r="H192" i="6"/>
  <c r="I192" i="6" s="1"/>
  <c r="J192" i="6" s="1"/>
  <c r="K192" i="6" s="1"/>
  <c r="L192" i="6" s="1"/>
  <c r="M192" i="6" s="1"/>
  <c r="N192" i="6" s="1"/>
  <c r="O192" i="6" s="1"/>
  <c r="P192" i="6" s="1"/>
  <c r="Q192" i="6" s="1"/>
  <c r="R192" i="6" s="1"/>
  <c r="S192" i="6" s="1"/>
  <c r="T192" i="6" s="1"/>
  <c r="U192" i="6" s="1"/>
  <c r="V192" i="6" s="1"/>
  <c r="W192" i="6" s="1"/>
  <c r="X192" i="6" s="1"/>
  <c r="Y192" i="6" s="1"/>
  <c r="Z192" i="6" s="1"/>
  <c r="Z320" i="6" l="1"/>
  <c r="Z502" i="6"/>
  <c r="Z323" i="6"/>
  <c r="G200" i="6"/>
  <c r="G282" i="6" l="1"/>
  <c r="G225" i="6"/>
  <c r="G283" i="6"/>
  <c r="G470" i="6" s="1"/>
  <c r="G226" i="6"/>
  <c r="H200" i="6"/>
  <c r="I200" i="6" s="1"/>
  <c r="G469" i="6" l="1"/>
  <c r="G471" i="6" s="1"/>
  <c r="G284" i="6"/>
  <c r="G412" i="6"/>
  <c r="G426" i="6" s="1"/>
  <c r="G227" i="6"/>
  <c r="G241" i="6" s="1"/>
  <c r="G336" i="6" s="1"/>
  <c r="G254" i="6"/>
  <c r="G441" i="6" s="1"/>
  <c r="G457" i="6" s="1"/>
  <c r="G413" i="6"/>
  <c r="G427" i="6" s="1"/>
  <c r="I282" i="6"/>
  <c r="I225" i="6"/>
  <c r="I283" i="6"/>
  <c r="I226" i="6"/>
  <c r="I413" i="6" s="1"/>
  <c r="I427" i="6" s="1"/>
  <c r="H282" i="6"/>
  <c r="H225" i="6"/>
  <c r="H283" i="6"/>
  <c r="H470" i="6" s="1"/>
  <c r="H484" i="6" s="1"/>
  <c r="H226" i="6"/>
  <c r="H413" i="6" s="1"/>
  <c r="H427" i="6" s="1"/>
  <c r="G253" i="6"/>
  <c r="G440" i="6" s="1"/>
  <c r="G456" i="6" s="1"/>
  <c r="G239" i="6"/>
  <c r="G240" i="6"/>
  <c r="J200" i="6"/>
  <c r="H469" i="6" l="1"/>
  <c r="H471" i="6" s="1"/>
  <c r="H284" i="6"/>
  <c r="I469" i="6"/>
  <c r="I284" i="6"/>
  <c r="H253" i="6"/>
  <c r="H227" i="6"/>
  <c r="I412" i="6"/>
  <c r="I426" i="6" s="1"/>
  <c r="I227" i="6"/>
  <c r="I470" i="6"/>
  <c r="H412" i="6"/>
  <c r="H426" i="6" s="1"/>
  <c r="G270" i="6"/>
  <c r="G414" i="6"/>
  <c r="G428" i="6" s="1"/>
  <c r="G523" i="6" s="1"/>
  <c r="J282" i="6"/>
  <c r="J226" i="6"/>
  <c r="J413" i="6" s="1"/>
  <c r="J427" i="6" s="1"/>
  <c r="J283" i="6"/>
  <c r="J470" i="6" s="1"/>
  <c r="J225" i="6"/>
  <c r="G269" i="6"/>
  <c r="G255" i="6"/>
  <c r="K200" i="6"/>
  <c r="I471" i="6" l="1"/>
  <c r="I414" i="6"/>
  <c r="I428" i="6" s="1"/>
  <c r="J469" i="6"/>
  <c r="J284" i="6"/>
  <c r="J412" i="6"/>
  <c r="J426" i="6" s="1"/>
  <c r="J227" i="6"/>
  <c r="H414" i="6"/>
  <c r="H428" i="6" s="1"/>
  <c r="G271" i="6"/>
  <c r="G337" i="6" s="1"/>
  <c r="K282" i="6"/>
  <c r="K226" i="6"/>
  <c r="K413" i="6" s="1"/>
  <c r="K427" i="6" s="1"/>
  <c r="K283" i="6"/>
  <c r="K470" i="6" s="1"/>
  <c r="K225" i="6"/>
  <c r="L200" i="6"/>
  <c r="I523" i="6" l="1"/>
  <c r="J483" i="6"/>
  <c r="J471" i="6"/>
  <c r="J414" i="6"/>
  <c r="J428" i="6" s="1"/>
  <c r="J523" i="6" s="1"/>
  <c r="K469" i="6"/>
  <c r="K471" i="6" s="1"/>
  <c r="K284" i="6"/>
  <c r="H523" i="6"/>
  <c r="K412" i="6"/>
  <c r="K426" i="6" s="1"/>
  <c r="K227" i="6"/>
  <c r="G338" i="6"/>
  <c r="L282" i="6"/>
  <c r="L226" i="6"/>
  <c r="L413" i="6" s="1"/>
  <c r="L427" i="6" s="1"/>
  <c r="L283" i="6"/>
  <c r="L470" i="6" s="1"/>
  <c r="L225" i="6"/>
  <c r="M200" i="6"/>
  <c r="K414" i="6" l="1"/>
  <c r="K428" i="6" s="1"/>
  <c r="K523" i="6" s="1"/>
  <c r="L469" i="6"/>
  <c r="L471" i="6" s="1"/>
  <c r="L284" i="6"/>
  <c r="L412" i="6"/>
  <c r="L426" i="6" s="1"/>
  <c r="L227" i="6"/>
  <c r="M282" i="6"/>
  <c r="M226" i="6"/>
  <c r="M413" i="6" s="1"/>
  <c r="M427" i="6" s="1"/>
  <c r="M283" i="6"/>
  <c r="M470" i="6" s="1"/>
  <c r="M225" i="6"/>
  <c r="N200" i="6"/>
  <c r="L414" i="6" l="1"/>
  <c r="L428" i="6" s="1"/>
  <c r="L523" i="6" s="1"/>
  <c r="M469" i="6"/>
  <c r="M471" i="6" s="1"/>
  <c r="M284" i="6"/>
  <c r="M412" i="6"/>
  <c r="M426" i="6" s="1"/>
  <c r="M227" i="6"/>
  <c r="N282" i="6"/>
  <c r="N226" i="6"/>
  <c r="N413" i="6" s="1"/>
  <c r="N427" i="6" s="1"/>
  <c r="N283" i="6"/>
  <c r="N470" i="6" s="1"/>
  <c r="N225" i="6"/>
  <c r="O200" i="6"/>
  <c r="M414" i="6" l="1"/>
  <c r="M428" i="6" s="1"/>
  <c r="N469" i="6"/>
  <c r="N471" i="6" s="1"/>
  <c r="N284" i="6"/>
  <c r="N412" i="6"/>
  <c r="N426" i="6" s="1"/>
  <c r="N227" i="6"/>
  <c r="O282" i="6"/>
  <c r="O225" i="6"/>
  <c r="O283" i="6"/>
  <c r="O470" i="6" s="1"/>
  <c r="O226" i="6"/>
  <c r="O413" i="6" s="1"/>
  <c r="O427" i="6" s="1"/>
  <c r="P200" i="6"/>
  <c r="M523" i="6" l="1"/>
  <c r="N414" i="6"/>
  <c r="N428" i="6" s="1"/>
  <c r="N523" i="6" s="1"/>
  <c r="O469" i="6"/>
  <c r="O471" i="6" s="1"/>
  <c r="O284" i="6"/>
  <c r="O412" i="6"/>
  <c r="O426" i="6" s="1"/>
  <c r="O227" i="6"/>
  <c r="P282" i="6"/>
  <c r="P225" i="6"/>
  <c r="P283" i="6"/>
  <c r="P470" i="6" s="1"/>
  <c r="P226" i="6"/>
  <c r="P413" i="6" s="1"/>
  <c r="P427" i="6" s="1"/>
  <c r="Q200" i="6"/>
  <c r="O414" i="6" l="1"/>
  <c r="O428" i="6" s="1"/>
  <c r="O523" i="6" s="1"/>
  <c r="P469" i="6"/>
  <c r="P471" i="6" s="1"/>
  <c r="P284" i="6"/>
  <c r="P412" i="6"/>
  <c r="P426" i="6" s="1"/>
  <c r="P227" i="6"/>
  <c r="Q282" i="6"/>
  <c r="Q225" i="6"/>
  <c r="Q283" i="6"/>
  <c r="Q470" i="6" s="1"/>
  <c r="Q226" i="6"/>
  <c r="Q413" i="6" s="1"/>
  <c r="Q427" i="6" s="1"/>
  <c r="R200" i="6"/>
  <c r="P414" i="6" l="1"/>
  <c r="P428" i="6" s="1"/>
  <c r="P523" i="6" s="1"/>
  <c r="Q469" i="6"/>
  <c r="Q471" i="6" s="1"/>
  <c r="Q284" i="6"/>
  <c r="Q412" i="6"/>
  <c r="Q426" i="6" s="1"/>
  <c r="Q227" i="6"/>
  <c r="R282" i="6"/>
  <c r="R226" i="6"/>
  <c r="R413" i="6" s="1"/>
  <c r="R427" i="6" s="1"/>
  <c r="R283" i="6"/>
  <c r="R470" i="6" s="1"/>
  <c r="R225" i="6"/>
  <c r="S200" i="6"/>
  <c r="Q414" i="6" l="1"/>
  <c r="Q428" i="6" s="1"/>
  <c r="Q523" i="6" s="1"/>
  <c r="R469" i="6"/>
  <c r="R471" i="6" s="1"/>
  <c r="R284" i="6"/>
  <c r="R412" i="6"/>
  <c r="R426" i="6" s="1"/>
  <c r="R227" i="6"/>
  <c r="S282" i="6"/>
  <c r="S226" i="6"/>
  <c r="S413" i="6" s="1"/>
  <c r="S427" i="6" s="1"/>
  <c r="S283" i="6"/>
  <c r="S470" i="6" s="1"/>
  <c r="S225" i="6"/>
  <c r="T200" i="6"/>
  <c r="R414" i="6" l="1"/>
  <c r="R428" i="6" s="1"/>
  <c r="R523" i="6" s="1"/>
  <c r="S469" i="6"/>
  <c r="S471" i="6" s="1"/>
  <c r="S284" i="6"/>
  <c r="S412" i="6"/>
  <c r="S426" i="6" s="1"/>
  <c r="S227" i="6"/>
  <c r="T282" i="6"/>
  <c r="T226" i="6"/>
  <c r="T413" i="6" s="1"/>
  <c r="T427" i="6" s="1"/>
  <c r="T283" i="6"/>
  <c r="T470" i="6" s="1"/>
  <c r="T225" i="6"/>
  <c r="U200" i="6"/>
  <c r="S414" i="6" l="1"/>
  <c r="S428" i="6" s="1"/>
  <c r="S523" i="6" s="1"/>
  <c r="T469" i="6"/>
  <c r="T471" i="6" s="1"/>
  <c r="T284" i="6"/>
  <c r="T412" i="6"/>
  <c r="T426" i="6" s="1"/>
  <c r="T227" i="6"/>
  <c r="U283" i="6"/>
  <c r="U470" i="6" s="1"/>
  <c r="U225" i="6"/>
  <c r="U282" i="6"/>
  <c r="U226" i="6"/>
  <c r="U413" i="6" s="1"/>
  <c r="U427" i="6" s="1"/>
  <c r="V200" i="6"/>
  <c r="T414" i="6" l="1"/>
  <c r="T428" i="6" s="1"/>
  <c r="T523" i="6" s="1"/>
  <c r="U469" i="6"/>
  <c r="U471" i="6" s="1"/>
  <c r="U284" i="6"/>
  <c r="U412" i="6"/>
  <c r="U426" i="6" s="1"/>
  <c r="U227" i="6"/>
  <c r="V282" i="6"/>
  <c r="V226" i="6"/>
  <c r="V413" i="6" s="1"/>
  <c r="V427" i="6" s="1"/>
  <c r="V283" i="6"/>
  <c r="V470" i="6" s="1"/>
  <c r="V225" i="6"/>
  <c r="W200" i="6"/>
  <c r="U414" i="6" l="1"/>
  <c r="U428" i="6" s="1"/>
  <c r="U523" i="6" s="1"/>
  <c r="V469" i="6"/>
  <c r="V471" i="6" s="1"/>
  <c r="V284" i="6"/>
  <c r="V412" i="6"/>
  <c r="V426" i="6" s="1"/>
  <c r="V227" i="6"/>
  <c r="W282" i="6"/>
  <c r="W226" i="6"/>
  <c r="W413" i="6" s="1"/>
  <c r="W427" i="6" s="1"/>
  <c r="W283" i="6"/>
  <c r="W470" i="6" s="1"/>
  <c r="W225" i="6"/>
  <c r="X200" i="6"/>
  <c r="V414" i="6" l="1"/>
  <c r="V428" i="6" s="1"/>
  <c r="V523" i="6" s="1"/>
  <c r="W469" i="6"/>
  <c r="W471" i="6" s="1"/>
  <c r="W284" i="6"/>
  <c r="W412" i="6"/>
  <c r="W426" i="6" s="1"/>
  <c r="W227" i="6"/>
  <c r="X282" i="6"/>
  <c r="X226" i="6"/>
  <c r="X413" i="6" s="1"/>
  <c r="X427" i="6" s="1"/>
  <c r="X283" i="6"/>
  <c r="X470" i="6" s="1"/>
  <c r="X225" i="6"/>
  <c r="Y200" i="6"/>
  <c r="W414" i="6" l="1"/>
  <c r="W428" i="6" s="1"/>
  <c r="W523" i="6" s="1"/>
  <c r="X469" i="6"/>
  <c r="X471" i="6" s="1"/>
  <c r="X284" i="6"/>
  <c r="X412" i="6"/>
  <c r="X426" i="6" s="1"/>
  <c r="X227" i="6"/>
  <c r="Y282" i="6"/>
  <c r="Y226" i="6"/>
  <c r="Y413" i="6" s="1"/>
  <c r="Y427" i="6" s="1"/>
  <c r="Y283" i="6"/>
  <c r="Y470" i="6" s="1"/>
  <c r="Y225" i="6"/>
  <c r="Z200" i="6"/>
  <c r="X414" i="6" l="1"/>
  <c r="X428" i="6" s="1"/>
  <c r="X523" i="6" s="1"/>
  <c r="Y469" i="6"/>
  <c r="Y471" i="6" s="1"/>
  <c r="Y284" i="6"/>
  <c r="Y412" i="6"/>
  <c r="Y426" i="6" s="1"/>
  <c r="Y227" i="6"/>
  <c r="Z282" i="6"/>
  <c r="Z226" i="6"/>
  <c r="Z413" i="6" s="1"/>
  <c r="Z427" i="6" s="1"/>
  <c r="Z283" i="6"/>
  <c r="Z470" i="6" s="1"/>
  <c r="Z225" i="6"/>
  <c r="F261" i="6"/>
  <c r="F448" i="6" s="1"/>
  <c r="M253" i="6"/>
  <c r="M440" i="6" s="1"/>
  <c r="M456" i="6" s="1"/>
  <c r="U253" i="6"/>
  <c r="U440" i="6" s="1"/>
  <c r="U456" i="6" s="1"/>
  <c r="H440" i="6"/>
  <c r="H456" i="6" s="1"/>
  <c r="P253" i="6"/>
  <c r="P440" i="6" s="1"/>
  <c r="P456" i="6" s="1"/>
  <c r="X253" i="6"/>
  <c r="X440" i="6" s="1"/>
  <c r="X456" i="6" s="1"/>
  <c r="K253" i="6"/>
  <c r="K440" i="6" s="1"/>
  <c r="K456" i="6" s="1"/>
  <c r="S253" i="6"/>
  <c r="S440" i="6" s="1"/>
  <c r="S456" i="6" s="1"/>
  <c r="N253" i="6"/>
  <c r="N440" i="6" s="1"/>
  <c r="N456" i="6" s="1"/>
  <c r="V253" i="6"/>
  <c r="I253" i="6"/>
  <c r="I440" i="6" s="1"/>
  <c r="I456" i="6" s="1"/>
  <c r="Q253" i="6"/>
  <c r="Q440" i="6" s="1"/>
  <c r="Q456" i="6" s="1"/>
  <c r="Y253" i="6"/>
  <c r="Y440" i="6" s="1"/>
  <c r="Y456" i="6" s="1"/>
  <c r="L253" i="6"/>
  <c r="L440" i="6" s="1"/>
  <c r="L456" i="6" s="1"/>
  <c r="T253" i="6"/>
  <c r="T440" i="6" s="1"/>
  <c r="T456" i="6" s="1"/>
  <c r="O253" i="6"/>
  <c r="O440" i="6" s="1"/>
  <c r="O456" i="6" s="1"/>
  <c r="W253" i="6"/>
  <c r="W440" i="6" s="1"/>
  <c r="W456" i="6" s="1"/>
  <c r="J253" i="6"/>
  <c r="J440" i="6" s="1"/>
  <c r="J456" i="6" s="1"/>
  <c r="R253" i="6"/>
  <c r="R440" i="6" s="1"/>
  <c r="R456" i="6" s="1"/>
  <c r="Z253" i="6"/>
  <c r="Z440" i="6" s="1"/>
  <c r="Z456" i="6" s="1"/>
  <c r="X254" i="6"/>
  <c r="Y414" i="6" l="1"/>
  <c r="Y428" i="6" s="1"/>
  <c r="Y523" i="6" s="1"/>
  <c r="Z469" i="6"/>
  <c r="Z471" i="6" s="1"/>
  <c r="Z284" i="6"/>
  <c r="Z412" i="6"/>
  <c r="Z426" i="6" s="1"/>
  <c r="Z227" i="6"/>
  <c r="V269" i="6"/>
  <c r="V440" i="6"/>
  <c r="V456" i="6" s="1"/>
  <c r="X270" i="6"/>
  <c r="X441" i="6"/>
  <c r="X457" i="6" s="1"/>
  <c r="F269" i="6"/>
  <c r="Z269" i="6"/>
  <c r="X269" i="6"/>
  <c r="X255" i="6"/>
  <c r="X271" i="6" s="1"/>
  <c r="W269" i="6"/>
  <c r="Y269" i="6"/>
  <c r="T269" i="6"/>
  <c r="U269" i="6"/>
  <c r="Q269" i="6"/>
  <c r="S269" i="6"/>
  <c r="R269" i="6"/>
  <c r="O269" i="6"/>
  <c r="M269" i="6"/>
  <c r="N269" i="6"/>
  <c r="P269" i="6"/>
  <c r="L269" i="6"/>
  <c r="K269" i="6"/>
  <c r="J269" i="6"/>
  <c r="I269" i="6"/>
  <c r="H269" i="6"/>
  <c r="F323" i="6"/>
  <c r="J239" i="6"/>
  <c r="O239" i="6"/>
  <c r="L239" i="6"/>
  <c r="Q239" i="6"/>
  <c r="V239" i="6"/>
  <c r="S239" i="6"/>
  <c r="X239" i="6"/>
  <c r="H239" i="6"/>
  <c r="M239" i="6"/>
  <c r="Z239" i="6"/>
  <c r="R239" i="6"/>
  <c r="W239" i="6"/>
  <c r="T239" i="6"/>
  <c r="Y239" i="6"/>
  <c r="I239" i="6"/>
  <c r="N239" i="6"/>
  <c r="K239" i="6"/>
  <c r="P239" i="6"/>
  <c r="U239" i="6"/>
  <c r="X240" i="6"/>
  <c r="X241" i="6"/>
  <c r="F239" i="6"/>
  <c r="R311" i="6"/>
  <c r="H311" i="6"/>
  <c r="H498" i="6" s="1"/>
  <c r="M311" i="6"/>
  <c r="I311" i="6"/>
  <c r="Y311" i="6"/>
  <c r="Q311" i="6"/>
  <c r="Z254" i="6"/>
  <c r="P254" i="6"/>
  <c r="P441" i="6" s="1"/>
  <c r="P457" i="6" s="1"/>
  <c r="V311" i="6"/>
  <c r="O311" i="6"/>
  <c r="U254" i="6"/>
  <c r="U441" i="6" s="1"/>
  <c r="U457" i="6" s="1"/>
  <c r="N311" i="6"/>
  <c r="F254" i="6"/>
  <c r="T254" i="6"/>
  <c r="T441" i="6" s="1"/>
  <c r="T457" i="6" s="1"/>
  <c r="I254" i="6"/>
  <c r="F262" i="6"/>
  <c r="F449" i="6" s="1"/>
  <c r="U310" i="6"/>
  <c r="U497" i="6" s="1"/>
  <c r="P310" i="6"/>
  <c r="P497" i="6" s="1"/>
  <c r="K310" i="6"/>
  <c r="K497" i="6" s="1"/>
  <c r="V310" i="6"/>
  <c r="V497" i="6" s="1"/>
  <c r="Q310" i="6"/>
  <c r="Q497" i="6" s="1"/>
  <c r="L310" i="6"/>
  <c r="L497" i="6" s="1"/>
  <c r="G310" i="6"/>
  <c r="G497" i="6" s="1"/>
  <c r="W310" i="6"/>
  <c r="W497" i="6" s="1"/>
  <c r="R310" i="6"/>
  <c r="R497" i="6" s="1"/>
  <c r="M310" i="6"/>
  <c r="M497" i="6" s="1"/>
  <c r="H310" i="6"/>
  <c r="H497" i="6" s="1"/>
  <c r="H513" i="6" s="1"/>
  <c r="X310" i="6"/>
  <c r="X497" i="6" s="1"/>
  <c r="S310" i="6"/>
  <c r="S497" i="6" s="1"/>
  <c r="N310" i="6"/>
  <c r="N497" i="6" s="1"/>
  <c r="Y310" i="6"/>
  <c r="Y497" i="6" s="1"/>
  <c r="T310" i="6"/>
  <c r="T497" i="6" s="1"/>
  <c r="O310" i="6"/>
  <c r="O497" i="6" s="1"/>
  <c r="J310" i="6"/>
  <c r="J497" i="6" s="1"/>
  <c r="Z310" i="6"/>
  <c r="Z497" i="6" s="1"/>
  <c r="L254" i="6"/>
  <c r="L441" i="6" s="1"/>
  <c r="L457" i="6" s="1"/>
  <c r="K254" i="6"/>
  <c r="S254" i="6"/>
  <c r="S441" i="6" s="1"/>
  <c r="S457" i="6" s="1"/>
  <c r="J254" i="6"/>
  <c r="X311" i="6"/>
  <c r="W311" i="6"/>
  <c r="Z414" i="6" l="1"/>
  <c r="Z428" i="6" s="1"/>
  <c r="C430" i="6" s="1"/>
  <c r="X327" i="6"/>
  <c r="X498" i="6"/>
  <c r="W327" i="6"/>
  <c r="W498" i="6"/>
  <c r="V327" i="6"/>
  <c r="V498" i="6"/>
  <c r="Y327" i="6"/>
  <c r="Y498" i="6"/>
  <c r="M327" i="6"/>
  <c r="M498" i="6"/>
  <c r="R327" i="6"/>
  <c r="R498" i="6"/>
  <c r="N327" i="6"/>
  <c r="N498" i="6"/>
  <c r="O327" i="6"/>
  <c r="O498" i="6"/>
  <c r="Q327" i="6"/>
  <c r="Q498" i="6"/>
  <c r="I327" i="6"/>
  <c r="I498" i="6"/>
  <c r="K255" i="6"/>
  <c r="K441" i="6"/>
  <c r="K457" i="6" s="1"/>
  <c r="I270" i="6"/>
  <c r="I441" i="6"/>
  <c r="I457" i="6" s="1"/>
  <c r="Z270" i="6"/>
  <c r="Z441" i="6"/>
  <c r="Z457" i="6" s="1"/>
  <c r="J255" i="6"/>
  <c r="J271" i="6" s="1"/>
  <c r="J441" i="6"/>
  <c r="J457" i="6" s="1"/>
  <c r="F255" i="6"/>
  <c r="F441" i="6"/>
  <c r="F442" i="6" s="1"/>
  <c r="H327" i="6"/>
  <c r="Z311" i="6"/>
  <c r="Z312" i="6" s="1"/>
  <c r="Z328" i="6" s="1"/>
  <c r="Z326" i="6"/>
  <c r="Y326" i="6"/>
  <c r="Y312" i="6"/>
  <c r="Y328" i="6" s="1"/>
  <c r="X326" i="6"/>
  <c r="X312" i="6"/>
  <c r="X328" i="6" s="1"/>
  <c r="W326" i="6"/>
  <c r="W312" i="6"/>
  <c r="W328" i="6" s="1"/>
  <c r="V326" i="6"/>
  <c r="V312" i="6"/>
  <c r="V328" i="6" s="1"/>
  <c r="U311" i="6"/>
  <c r="T311" i="6"/>
  <c r="T312" i="6" s="1"/>
  <c r="T328" i="6" s="1"/>
  <c r="T326" i="6"/>
  <c r="U326" i="6"/>
  <c r="S311" i="6"/>
  <c r="S326" i="6"/>
  <c r="R326" i="6"/>
  <c r="R312" i="6"/>
  <c r="R328" i="6" s="1"/>
  <c r="Q326" i="6"/>
  <c r="Q312" i="6"/>
  <c r="Q328" i="6" s="1"/>
  <c r="P311" i="6"/>
  <c r="O326" i="6"/>
  <c r="O312" i="6"/>
  <c r="O328" i="6" s="1"/>
  <c r="N326" i="6"/>
  <c r="N312" i="6"/>
  <c r="N328" i="6" s="1"/>
  <c r="M326" i="6"/>
  <c r="M312" i="6"/>
  <c r="M328" i="6" s="1"/>
  <c r="P326" i="6"/>
  <c r="P312" i="6"/>
  <c r="P328" i="6" s="1"/>
  <c r="L311" i="6"/>
  <c r="K311" i="6"/>
  <c r="K326" i="6"/>
  <c r="L326" i="6"/>
  <c r="J311" i="6"/>
  <c r="J312" i="6" s="1"/>
  <c r="J328" i="6" s="1"/>
  <c r="J326" i="6"/>
  <c r="I310" i="6"/>
  <c r="I497" i="6" s="1"/>
  <c r="H326" i="6"/>
  <c r="H312" i="6"/>
  <c r="G311" i="6"/>
  <c r="G326" i="6"/>
  <c r="V254" i="6"/>
  <c r="V441" i="6" s="1"/>
  <c r="V457" i="6" s="1"/>
  <c r="W254" i="6"/>
  <c r="W441" i="6" s="1"/>
  <c r="W457" i="6" s="1"/>
  <c r="Y254" i="6"/>
  <c r="Y441" i="6" s="1"/>
  <c r="Y457" i="6" s="1"/>
  <c r="Q254" i="6"/>
  <c r="Q441" i="6" s="1"/>
  <c r="Q457" i="6" s="1"/>
  <c r="R254" i="6"/>
  <c r="R441" i="6" s="1"/>
  <c r="R457" i="6" s="1"/>
  <c r="M254" i="6"/>
  <c r="M441" i="6" s="1"/>
  <c r="M457" i="6" s="1"/>
  <c r="N254" i="6"/>
  <c r="N441" i="6" s="1"/>
  <c r="N457" i="6" s="1"/>
  <c r="O254" i="6"/>
  <c r="O441" i="6" s="1"/>
  <c r="O457" i="6" s="1"/>
  <c r="J270" i="6"/>
  <c r="I255" i="6"/>
  <c r="I271" i="6" s="1"/>
  <c r="H254" i="6"/>
  <c r="H441" i="6" s="1"/>
  <c r="H457" i="6" s="1"/>
  <c r="F270" i="6"/>
  <c r="Z296" i="6"/>
  <c r="O296" i="6"/>
  <c r="Y296" i="6"/>
  <c r="N296" i="6"/>
  <c r="X296" i="6"/>
  <c r="M296" i="6"/>
  <c r="W296" i="6"/>
  <c r="L296" i="6"/>
  <c r="V296" i="6"/>
  <c r="P296" i="6"/>
  <c r="T296" i="6"/>
  <c r="S296" i="6"/>
  <c r="R296" i="6"/>
  <c r="Q296" i="6"/>
  <c r="K296" i="6"/>
  <c r="U296" i="6"/>
  <c r="J296" i="6"/>
  <c r="I296" i="6"/>
  <c r="H296" i="6"/>
  <c r="G296" i="6"/>
  <c r="T297" i="6"/>
  <c r="T298" i="6"/>
  <c r="Z297" i="6"/>
  <c r="Z298" i="6"/>
  <c r="N297" i="6"/>
  <c r="N298" i="6"/>
  <c r="Y297" i="6"/>
  <c r="Y298" i="6"/>
  <c r="J297" i="6"/>
  <c r="M297" i="6"/>
  <c r="M298" i="6"/>
  <c r="U297" i="6"/>
  <c r="U298" i="6"/>
  <c r="W297" i="6"/>
  <c r="W298" i="6"/>
  <c r="X297" i="6"/>
  <c r="X298" i="6"/>
  <c r="S297" i="6"/>
  <c r="S298" i="6"/>
  <c r="L297" i="6"/>
  <c r="L298" i="6"/>
  <c r="K297" i="6"/>
  <c r="K298" i="6"/>
  <c r="O297" i="6"/>
  <c r="O298" i="6"/>
  <c r="V297" i="6"/>
  <c r="V298" i="6"/>
  <c r="Q297" i="6"/>
  <c r="Q298" i="6"/>
  <c r="P297" i="6"/>
  <c r="P298" i="6"/>
  <c r="I297" i="6"/>
  <c r="I298" i="6"/>
  <c r="H297" i="6"/>
  <c r="H298" i="6"/>
  <c r="R297" i="6"/>
  <c r="R298" i="6"/>
  <c r="G297" i="6"/>
  <c r="J240" i="6"/>
  <c r="J241" i="6"/>
  <c r="K240" i="6"/>
  <c r="K241" i="6"/>
  <c r="L240" i="6"/>
  <c r="L241" i="6"/>
  <c r="H240" i="6"/>
  <c r="R240" i="6"/>
  <c r="R241" i="6"/>
  <c r="T240" i="6"/>
  <c r="T241" i="6"/>
  <c r="U240" i="6"/>
  <c r="U241" i="6"/>
  <c r="Y240" i="6"/>
  <c r="Y241" i="6"/>
  <c r="P240" i="6"/>
  <c r="P241" i="6"/>
  <c r="Z240" i="6"/>
  <c r="Z241" i="6"/>
  <c r="N240" i="6"/>
  <c r="N241" i="6"/>
  <c r="Q240" i="6"/>
  <c r="Q241" i="6"/>
  <c r="S240" i="6"/>
  <c r="S241" i="6"/>
  <c r="W240" i="6"/>
  <c r="W241" i="6"/>
  <c r="M240" i="6"/>
  <c r="M241" i="6"/>
  <c r="I240" i="6"/>
  <c r="I241" i="6"/>
  <c r="O240" i="6"/>
  <c r="O241" i="6"/>
  <c r="V240" i="6"/>
  <c r="V241" i="6"/>
  <c r="F240" i="6"/>
  <c r="Z523" i="6" l="1"/>
  <c r="O339" i="6"/>
  <c r="V336" i="6"/>
  <c r="R339" i="6"/>
  <c r="K327" i="6"/>
  <c r="K498" i="6"/>
  <c r="P327" i="6"/>
  <c r="P498" i="6"/>
  <c r="S327" i="6"/>
  <c r="S498" i="6"/>
  <c r="T327" i="6"/>
  <c r="T498" i="6"/>
  <c r="Z327" i="6"/>
  <c r="Z498" i="6"/>
  <c r="G327" i="6"/>
  <c r="G498" i="6"/>
  <c r="J327" i="6"/>
  <c r="J498" i="6"/>
  <c r="L327" i="6"/>
  <c r="L498" i="6"/>
  <c r="L514" i="6" s="1"/>
  <c r="U327" i="6"/>
  <c r="U498" i="6"/>
  <c r="P339" i="6"/>
  <c r="S312" i="6"/>
  <c r="S328" i="6" s="1"/>
  <c r="T340" i="6" s="1"/>
  <c r="Q340" i="6"/>
  <c r="O336" i="6"/>
  <c r="R340" i="6"/>
  <c r="Z340" i="6"/>
  <c r="Q339" i="6"/>
  <c r="V339" i="6"/>
  <c r="S339" i="6"/>
  <c r="X339" i="6"/>
  <c r="W339" i="6"/>
  <c r="U339" i="6"/>
  <c r="Y339" i="6"/>
  <c r="Z339" i="6"/>
  <c r="T339" i="6"/>
  <c r="S336" i="6"/>
  <c r="M336" i="6"/>
  <c r="W336" i="6"/>
  <c r="Q336" i="6"/>
  <c r="N336" i="6"/>
  <c r="Z336" i="6"/>
  <c r="P336" i="6"/>
  <c r="Y336" i="6"/>
  <c r="U336" i="6"/>
  <c r="T336" i="6"/>
  <c r="R336" i="6"/>
  <c r="X336" i="6"/>
  <c r="H270" i="6"/>
  <c r="H328" i="6"/>
  <c r="H241" i="6"/>
  <c r="G298" i="6"/>
  <c r="G339" i="6" s="1"/>
  <c r="G312" i="6"/>
  <c r="G328" i="6" s="1"/>
  <c r="K312" i="6"/>
  <c r="K328" i="6" s="1"/>
  <c r="L312" i="6"/>
  <c r="L328" i="6" s="1"/>
  <c r="U312" i="6"/>
  <c r="U328" i="6" s="1"/>
  <c r="I326" i="6"/>
  <c r="I312" i="6"/>
  <c r="I328" i="6" s="1"/>
  <c r="Z255" i="6"/>
  <c r="Z271" i="6" s="1"/>
  <c r="Y270" i="6"/>
  <c r="Y255" i="6"/>
  <c r="Y271" i="6" s="1"/>
  <c r="W270" i="6"/>
  <c r="W255" i="6"/>
  <c r="W271" i="6" s="1"/>
  <c r="V270" i="6"/>
  <c r="V255" i="6"/>
  <c r="V271" i="6" s="1"/>
  <c r="U270" i="6"/>
  <c r="U255" i="6"/>
  <c r="U271" i="6" s="1"/>
  <c r="T270" i="6"/>
  <c r="T255" i="6"/>
  <c r="T271" i="6" s="1"/>
  <c r="R270" i="6"/>
  <c r="R255" i="6"/>
  <c r="R271" i="6" s="1"/>
  <c r="S270" i="6"/>
  <c r="S255" i="6"/>
  <c r="S271" i="6" s="1"/>
  <c r="Q270" i="6"/>
  <c r="Q255" i="6"/>
  <c r="Q271" i="6" s="1"/>
  <c r="O270" i="6"/>
  <c r="O255" i="6"/>
  <c r="O271" i="6" s="1"/>
  <c r="N270" i="6"/>
  <c r="N255" i="6"/>
  <c r="N271" i="6" s="1"/>
  <c r="P270" i="6"/>
  <c r="P255" i="6"/>
  <c r="P271" i="6" s="1"/>
  <c r="M270" i="6"/>
  <c r="M255" i="6"/>
  <c r="M271" i="6" s="1"/>
  <c r="L270" i="6"/>
  <c r="L255" i="6"/>
  <c r="L271" i="6" s="1"/>
  <c r="K270" i="6"/>
  <c r="K271" i="6"/>
  <c r="H255" i="6"/>
  <c r="H271" i="6" s="1"/>
  <c r="F340" i="6"/>
  <c r="F324" i="6"/>
  <c r="J298" i="6"/>
  <c r="F298" i="6"/>
  <c r="C300" i="6" l="1"/>
  <c r="H336" i="6"/>
  <c r="C243" i="6"/>
  <c r="C273" i="6"/>
  <c r="H337" i="6"/>
  <c r="C330" i="6"/>
  <c r="G340" i="6"/>
  <c r="G342" i="6" s="1"/>
  <c r="G351" i="6" s="1"/>
  <c r="H340" i="6"/>
  <c r="S340" i="6"/>
  <c r="S341" i="6" s="1"/>
  <c r="Z341" i="6"/>
  <c r="T341" i="6"/>
  <c r="R341" i="6"/>
  <c r="Q341" i="6"/>
  <c r="U340" i="6"/>
  <c r="U341" i="6" s="1"/>
  <c r="I340" i="6"/>
  <c r="J339" i="6"/>
  <c r="L340" i="6"/>
  <c r="O340" i="6"/>
  <c r="O341" i="6" s="1"/>
  <c r="M340" i="6"/>
  <c r="X340" i="6"/>
  <c r="X341" i="6" s="1"/>
  <c r="V340" i="6"/>
  <c r="V341" i="6" s="1"/>
  <c r="N340" i="6"/>
  <c r="P340" i="6"/>
  <c r="P341" i="6" s="1"/>
  <c r="Y340" i="6"/>
  <c r="Y341" i="6" s="1"/>
  <c r="W340" i="6"/>
  <c r="W341" i="6" s="1"/>
  <c r="K340" i="6"/>
  <c r="J340" i="6"/>
  <c r="N339" i="6"/>
  <c r="M339" i="6"/>
  <c r="L339" i="6"/>
  <c r="K339" i="6"/>
  <c r="I339" i="6"/>
  <c r="H339" i="6"/>
  <c r="L337" i="6"/>
  <c r="P337" i="6"/>
  <c r="P338" i="6" s="1"/>
  <c r="O337" i="6"/>
  <c r="O338" i="6" s="1"/>
  <c r="S337" i="6"/>
  <c r="S338" i="6" s="1"/>
  <c r="T337" i="6"/>
  <c r="T338" i="6" s="1"/>
  <c r="V337" i="6"/>
  <c r="W337" i="6"/>
  <c r="W338" i="6" s="1"/>
  <c r="X337" i="6"/>
  <c r="X338" i="6" s="1"/>
  <c r="Y337" i="6"/>
  <c r="Y338" i="6" s="1"/>
  <c r="Z337" i="6"/>
  <c r="Z338" i="6" s="1"/>
  <c r="M337" i="6"/>
  <c r="M338" i="6" s="1"/>
  <c r="N337" i="6"/>
  <c r="N338" i="6" s="1"/>
  <c r="Q337" i="6"/>
  <c r="Q338" i="6" s="1"/>
  <c r="R337" i="6"/>
  <c r="R338" i="6" s="1"/>
  <c r="U337" i="6"/>
  <c r="U338" i="6" s="1"/>
  <c r="K337" i="6"/>
  <c r="J337" i="6"/>
  <c r="I337" i="6"/>
  <c r="I336" i="6"/>
  <c r="J336" i="6"/>
  <c r="L336" i="6"/>
  <c r="K336" i="6"/>
  <c r="F339" i="6"/>
  <c r="H338" i="6" l="1"/>
  <c r="G341" i="6"/>
  <c r="I341" i="6"/>
  <c r="L341" i="6"/>
  <c r="H341" i="6"/>
  <c r="K341" i="6"/>
  <c r="M341" i="6"/>
  <c r="N341" i="6"/>
  <c r="H342" i="6"/>
  <c r="H351" i="6" s="1"/>
  <c r="L338" i="6"/>
  <c r="L342" i="6" s="1"/>
  <c r="L351" i="6" s="1"/>
  <c r="O342" i="6"/>
  <c r="O351" i="6" s="1"/>
  <c r="Q342" i="6"/>
  <c r="Q351" i="6" s="1"/>
  <c r="Y342" i="6"/>
  <c r="Y351" i="6" s="1"/>
  <c r="X342" i="6"/>
  <c r="X351" i="6" s="1"/>
  <c r="W342" i="6"/>
  <c r="W351" i="6" s="1"/>
  <c r="P342" i="6"/>
  <c r="P351" i="6" s="1"/>
  <c r="R342" i="6"/>
  <c r="R351" i="6" s="1"/>
  <c r="K338" i="6"/>
  <c r="K342" i="6" s="1"/>
  <c r="K351" i="6" s="1"/>
  <c r="V338" i="6"/>
  <c r="V342" i="6" s="1"/>
  <c r="V351" i="6" s="1"/>
  <c r="M342" i="6"/>
  <c r="M351" i="6" s="1"/>
  <c r="Z342" i="6"/>
  <c r="Z351" i="6" s="1"/>
  <c r="T342" i="6"/>
  <c r="T351" i="6" s="1"/>
  <c r="S342" i="6"/>
  <c r="S351" i="6" s="1"/>
  <c r="N342" i="6"/>
  <c r="N351" i="6" s="1"/>
  <c r="U342" i="6"/>
  <c r="U351" i="6" s="1"/>
  <c r="J341" i="6"/>
  <c r="I338" i="6"/>
  <c r="I342" i="6" s="1"/>
  <c r="I351" i="6" s="1"/>
  <c r="J338" i="6"/>
  <c r="T513" i="6"/>
  <c r="Q513" i="6"/>
  <c r="S483" i="6"/>
  <c r="U483" i="6"/>
  <c r="G484" i="6"/>
  <c r="G514" i="6"/>
  <c r="G483" i="6"/>
  <c r="G513" i="6"/>
  <c r="X442" i="6"/>
  <c r="S514" i="6"/>
  <c r="S484" i="6"/>
  <c r="Z514" i="6"/>
  <c r="Z484" i="6"/>
  <c r="R514" i="6"/>
  <c r="R484" i="6"/>
  <c r="Q514" i="6"/>
  <c r="Q484" i="6"/>
  <c r="K484" i="6"/>
  <c r="P514" i="6"/>
  <c r="I483" i="6"/>
  <c r="G442" i="6"/>
  <c r="G458" i="6" s="1"/>
  <c r="Z513" i="6"/>
  <c r="Z483" i="6"/>
  <c r="W513" i="6"/>
  <c r="T514" i="6"/>
  <c r="T484" i="6"/>
  <c r="R513" i="6"/>
  <c r="R483" i="6"/>
  <c r="D345" i="6" l="1"/>
  <c r="D344" i="6"/>
  <c r="G524" i="6"/>
  <c r="G525" i="6" s="1"/>
  <c r="J342" i="6"/>
  <c r="J351" i="6" s="1"/>
  <c r="D353" i="6" s="1"/>
  <c r="I513" i="6"/>
  <c r="T483" i="6"/>
  <c r="Q483" i="6"/>
  <c r="K513" i="6"/>
  <c r="L483" i="6"/>
  <c r="U513" i="6"/>
  <c r="M484" i="6"/>
  <c r="N483" i="6"/>
  <c r="U484" i="6"/>
  <c r="V514" i="6"/>
  <c r="S513" i="6"/>
  <c r="P512" i="6"/>
  <c r="K483" i="6"/>
  <c r="L513" i="6"/>
  <c r="T481" i="6"/>
  <c r="O513" i="6"/>
  <c r="M483" i="6"/>
  <c r="N484" i="6"/>
  <c r="I484" i="6"/>
  <c r="W483" i="6"/>
  <c r="O483" i="6"/>
  <c r="O484" i="6"/>
  <c r="V484" i="6"/>
  <c r="M513" i="6"/>
  <c r="N514" i="6"/>
  <c r="Y483" i="6"/>
  <c r="P484" i="6"/>
  <c r="Z481" i="6"/>
  <c r="Z512" i="6"/>
  <c r="I499" i="6"/>
  <c r="Y513" i="6"/>
  <c r="V513" i="6"/>
  <c r="L484" i="6"/>
  <c r="U499" i="6"/>
  <c r="W484" i="6"/>
  <c r="Y484" i="6"/>
  <c r="P483" i="6"/>
  <c r="P513" i="6"/>
  <c r="Y514" i="6"/>
  <c r="V483" i="6"/>
  <c r="M514" i="6"/>
  <c r="N513" i="6"/>
  <c r="W514" i="6"/>
  <c r="O514" i="6"/>
  <c r="G512" i="6"/>
  <c r="X514" i="6"/>
  <c r="X484" i="6"/>
  <c r="X483" i="6"/>
  <c r="X513" i="6"/>
  <c r="J484" i="6"/>
  <c r="J514" i="6"/>
  <c r="J513" i="6"/>
  <c r="G510" i="6"/>
  <c r="H499" i="6"/>
  <c r="G499" i="6"/>
  <c r="G481" i="6"/>
  <c r="H514" i="6"/>
  <c r="H483" i="6"/>
  <c r="U514" i="6"/>
  <c r="K514" i="6"/>
  <c r="K442" i="6"/>
  <c r="K499" i="6"/>
  <c r="U442" i="6"/>
  <c r="X450" i="6"/>
  <c r="N442" i="6"/>
  <c r="I514" i="6"/>
  <c r="L510" i="6"/>
  <c r="L481" i="6"/>
  <c r="L499" i="6"/>
  <c r="L442" i="6"/>
  <c r="P442" i="6"/>
  <c r="O442" i="6"/>
  <c r="V442" i="6"/>
  <c r="Y442" i="6"/>
  <c r="Q442" i="6"/>
  <c r="R442" i="6"/>
  <c r="W442" i="6"/>
  <c r="K510" i="6"/>
  <c r="K481" i="6"/>
  <c r="U481" i="6"/>
  <c r="Z442" i="6"/>
  <c r="H442" i="6"/>
  <c r="S442" i="6"/>
  <c r="T442" i="6"/>
  <c r="I442" i="6"/>
  <c r="J442" i="6"/>
  <c r="M442" i="6"/>
  <c r="M499" i="6"/>
  <c r="T510" i="6" l="1"/>
  <c r="T499" i="6"/>
  <c r="R481" i="6"/>
  <c r="S499" i="6"/>
  <c r="Z499" i="6"/>
  <c r="Q485" i="6"/>
  <c r="Y481" i="6"/>
  <c r="G507" i="6"/>
  <c r="Z510" i="6"/>
  <c r="N481" i="6"/>
  <c r="Y485" i="6"/>
  <c r="J510" i="6"/>
  <c r="I510" i="6"/>
  <c r="S510" i="6"/>
  <c r="O510" i="6"/>
  <c r="Y510" i="6"/>
  <c r="N499" i="6"/>
  <c r="Y499" i="6"/>
  <c r="N510" i="6"/>
  <c r="W510" i="6"/>
  <c r="S481" i="6"/>
  <c r="Q481" i="6"/>
  <c r="Y507" i="6"/>
  <c r="P481" i="6"/>
  <c r="M510" i="6"/>
  <c r="Q507" i="6"/>
  <c r="Z485" i="6"/>
  <c r="W481" i="6"/>
  <c r="R499" i="6"/>
  <c r="V485" i="6"/>
  <c r="P499" i="6"/>
  <c r="P510" i="6"/>
  <c r="W499" i="6"/>
  <c r="P507" i="6"/>
  <c r="T485" i="6"/>
  <c r="Q510" i="6"/>
  <c r="V499" i="6"/>
  <c r="R510" i="6"/>
  <c r="Q499" i="6"/>
  <c r="I481" i="6"/>
  <c r="V481" i="6"/>
  <c r="M481" i="6"/>
  <c r="O481" i="6"/>
  <c r="U510" i="6"/>
  <c r="J499" i="6"/>
  <c r="V510" i="6"/>
  <c r="O499" i="6"/>
  <c r="M507" i="6"/>
  <c r="M515" i="6" s="1"/>
  <c r="J481" i="6"/>
  <c r="G485" i="6"/>
  <c r="X499" i="6"/>
  <c r="X510" i="6"/>
  <c r="X481" i="6"/>
  <c r="X458" i="6"/>
  <c r="H481" i="6"/>
  <c r="L485" i="6"/>
  <c r="R450" i="6"/>
  <c r="M450" i="6"/>
  <c r="I450" i="6"/>
  <c r="V450" i="6"/>
  <c r="S507" i="6"/>
  <c r="S450" i="6"/>
  <c r="N450" i="6"/>
  <c r="Q450" i="6"/>
  <c r="T507" i="6"/>
  <c r="U450" i="6"/>
  <c r="K507" i="6"/>
  <c r="K515" i="6" s="1"/>
  <c r="K450" i="6"/>
  <c r="L507" i="6"/>
  <c r="L450" i="6"/>
  <c r="Z450" i="6"/>
  <c r="N507" i="6"/>
  <c r="W507" i="6"/>
  <c r="W450" i="6"/>
  <c r="J450" i="6"/>
  <c r="Y450" i="6"/>
  <c r="T450" i="6"/>
  <c r="O507" i="6"/>
  <c r="O450" i="6"/>
  <c r="P450" i="6"/>
  <c r="K485" i="6"/>
  <c r="U507" i="6"/>
  <c r="U515" i="6" s="1"/>
  <c r="G526" i="6" l="1"/>
  <c r="G515" i="6"/>
  <c r="M485" i="6"/>
  <c r="I485" i="6"/>
  <c r="O485" i="6"/>
  <c r="W485" i="6"/>
  <c r="L515" i="6"/>
  <c r="X485" i="6"/>
  <c r="N515" i="6"/>
  <c r="S485" i="6"/>
  <c r="T515" i="6"/>
  <c r="U485" i="6"/>
  <c r="N485" i="6"/>
  <c r="Y515" i="6"/>
  <c r="Z507" i="6"/>
  <c r="Z515" i="6" s="1"/>
  <c r="H485" i="6"/>
  <c r="S515" i="6"/>
  <c r="O515" i="6"/>
  <c r="I507" i="6"/>
  <c r="I515" i="6" s="1"/>
  <c r="R485" i="6"/>
  <c r="R507" i="6"/>
  <c r="R515" i="6" s="1"/>
  <c r="P515" i="6"/>
  <c r="P485" i="6"/>
  <c r="J485" i="6"/>
  <c r="Q515" i="6"/>
  <c r="W515" i="6"/>
  <c r="V507" i="6"/>
  <c r="V515" i="6" s="1"/>
  <c r="J515" i="6"/>
  <c r="X507" i="6"/>
  <c r="X515" i="6" s="1"/>
  <c r="H507" i="6"/>
  <c r="H515" i="6" s="1"/>
  <c r="T458" i="6"/>
  <c r="Y458" i="6"/>
  <c r="W458" i="6"/>
  <c r="Z458" i="6"/>
  <c r="L458" i="6"/>
  <c r="U458" i="6"/>
  <c r="S458" i="6"/>
  <c r="I458" i="6"/>
  <c r="R458" i="6"/>
  <c r="P458" i="6"/>
  <c r="O458" i="6"/>
  <c r="J458" i="6"/>
  <c r="K458" i="6"/>
  <c r="Q458" i="6"/>
  <c r="N458" i="6"/>
  <c r="V458" i="6"/>
  <c r="M458" i="6"/>
  <c r="H450" i="6"/>
  <c r="C487" i="6" l="1"/>
  <c r="H526" i="6"/>
  <c r="C517" i="6"/>
  <c r="H527" i="6"/>
  <c r="G527" i="6"/>
  <c r="G529" i="6" s="1"/>
  <c r="G536" i="6" s="1"/>
  <c r="J526" i="6"/>
  <c r="P526" i="6"/>
  <c r="W526" i="6"/>
  <c r="Z526" i="6"/>
  <c r="M524" i="6"/>
  <c r="X527" i="6"/>
  <c r="J527" i="6"/>
  <c r="W527" i="6"/>
  <c r="P527" i="6"/>
  <c r="O527" i="6"/>
  <c r="T526" i="6"/>
  <c r="N524" i="6"/>
  <c r="V524" i="6"/>
  <c r="V527" i="6"/>
  <c r="Q527" i="6"/>
  <c r="Q524" i="6"/>
  <c r="P524" i="6"/>
  <c r="U524" i="6"/>
  <c r="Z524" i="6"/>
  <c r="Y524" i="6"/>
  <c r="R526" i="6"/>
  <c r="Z527" i="6"/>
  <c r="S527" i="6"/>
  <c r="N526" i="6"/>
  <c r="T527" i="6"/>
  <c r="N527" i="6"/>
  <c r="L527" i="6"/>
  <c r="I526" i="6"/>
  <c r="K527" i="6"/>
  <c r="U527" i="6"/>
  <c r="M527" i="6"/>
  <c r="O524" i="6"/>
  <c r="R524" i="6"/>
  <c r="S524" i="6"/>
  <c r="W524" i="6"/>
  <c r="T524" i="6"/>
  <c r="R527" i="6"/>
  <c r="I527" i="6"/>
  <c r="Y527" i="6"/>
  <c r="U526" i="6"/>
  <c r="S526" i="6"/>
  <c r="X526" i="6"/>
  <c r="X528" i="6" s="1"/>
  <c r="V526" i="6"/>
  <c r="L526" i="6"/>
  <c r="Q526" i="6"/>
  <c r="Y526" i="6"/>
  <c r="O526" i="6"/>
  <c r="M526" i="6"/>
  <c r="X524" i="6"/>
  <c r="K526" i="6"/>
  <c r="H458" i="6"/>
  <c r="C460" i="6" s="1"/>
  <c r="F237" i="6"/>
  <c r="F258" i="6"/>
  <c r="H524" i="6" l="1"/>
  <c r="H525" i="6" s="1"/>
  <c r="H528" i="6"/>
  <c r="G528" i="6"/>
  <c r="P528" i="6"/>
  <c r="Q528" i="6"/>
  <c r="J528" i="6"/>
  <c r="S528" i="6"/>
  <c r="W528" i="6"/>
  <c r="Z528" i="6"/>
  <c r="U528" i="6"/>
  <c r="K528" i="6"/>
  <c r="Y528" i="6"/>
  <c r="L528" i="6"/>
  <c r="O528" i="6"/>
  <c r="V528" i="6"/>
  <c r="S525" i="6"/>
  <c r="S529" i="6" s="1"/>
  <c r="S536" i="6" s="1"/>
  <c r="O525" i="6"/>
  <c r="O529" i="6" s="1"/>
  <c r="O536" i="6" s="1"/>
  <c r="Z525" i="6"/>
  <c r="Z529" i="6" s="1"/>
  <c r="Z536" i="6" s="1"/>
  <c r="V525" i="6"/>
  <c r="V529" i="6" s="1"/>
  <c r="V536" i="6" s="1"/>
  <c r="M525" i="6"/>
  <c r="M529" i="6" s="1"/>
  <c r="M536" i="6" s="1"/>
  <c r="X525" i="6"/>
  <c r="X529" i="6" s="1"/>
  <c r="X536" i="6" s="1"/>
  <c r="R525" i="6"/>
  <c r="R529" i="6" s="1"/>
  <c r="R536" i="6" s="1"/>
  <c r="Y525" i="6"/>
  <c r="Y529" i="6" s="1"/>
  <c r="Y536" i="6" s="1"/>
  <c r="U525" i="6"/>
  <c r="U529" i="6" s="1"/>
  <c r="U536" i="6" s="1"/>
  <c r="Q525" i="6"/>
  <c r="Q529" i="6" s="1"/>
  <c r="Q536" i="6" s="1"/>
  <c r="N525" i="6"/>
  <c r="N529" i="6" s="1"/>
  <c r="N536" i="6" s="1"/>
  <c r="M528" i="6"/>
  <c r="R528" i="6"/>
  <c r="T528" i="6"/>
  <c r="I528" i="6"/>
  <c r="N528" i="6"/>
  <c r="W525" i="6"/>
  <c r="T525" i="6"/>
  <c r="P525" i="6"/>
  <c r="F266" i="6"/>
  <c r="F445" i="6"/>
  <c r="L524" i="6"/>
  <c r="K524" i="6"/>
  <c r="I524" i="6"/>
  <c r="J524" i="6"/>
  <c r="F238" i="6"/>
  <c r="F454" i="6"/>
  <c r="F259" i="6"/>
  <c r="F267" i="6" s="1"/>
  <c r="F241" i="6"/>
  <c r="F336" i="6" s="1"/>
  <c r="D532" i="6" l="1"/>
  <c r="D554" i="6" s="1"/>
  <c r="F263" i="6"/>
  <c r="F271" i="6" s="1"/>
  <c r="W529" i="6"/>
  <c r="W536" i="6" s="1"/>
  <c r="P529" i="6"/>
  <c r="P536" i="6" s="1"/>
  <c r="H529" i="6"/>
  <c r="H536" i="6" s="1"/>
  <c r="T529" i="6"/>
  <c r="T536" i="6" s="1"/>
  <c r="J525" i="6"/>
  <c r="I525" i="6"/>
  <c r="K525" i="6"/>
  <c r="L525" i="6"/>
  <c r="F453" i="6"/>
  <c r="F450" i="6"/>
  <c r="D531" i="6" l="1"/>
  <c r="F337" i="6"/>
  <c r="F342" i="6" s="1"/>
  <c r="F351" i="6" s="1"/>
  <c r="K637" i="6"/>
  <c r="L554" i="6"/>
  <c r="D627" i="6"/>
  <c r="I627" i="6"/>
  <c r="D618" i="6"/>
  <c r="I618" i="6"/>
  <c r="H597" i="6"/>
  <c r="D607" i="6"/>
  <c r="C597" i="6"/>
  <c r="G576" i="6"/>
  <c r="D587" i="6"/>
  <c r="L529" i="6"/>
  <c r="L536" i="6" s="1"/>
  <c r="I529" i="6"/>
  <c r="I536" i="6" s="1"/>
  <c r="K529" i="6"/>
  <c r="K536" i="6" s="1"/>
  <c r="J529" i="6"/>
  <c r="J536" i="6" s="1"/>
  <c r="F483" i="6"/>
  <c r="F513" i="6"/>
  <c r="F484" i="6"/>
  <c r="F514" i="6"/>
  <c r="F457" i="6"/>
  <c r="D538" i="6" l="1"/>
  <c r="K554" i="6"/>
  <c r="C554" i="6"/>
  <c r="J637" i="6"/>
  <c r="B636" i="6"/>
  <c r="C627" i="6"/>
  <c r="H627" i="6"/>
  <c r="C618" i="6"/>
  <c r="H618" i="6"/>
  <c r="C607" i="6"/>
  <c r="C587" i="6"/>
  <c r="H587" i="6"/>
  <c r="C576" i="6"/>
  <c r="F499" i="6"/>
  <c r="F456" i="6"/>
  <c r="F458" i="6"/>
  <c r="F524" i="6" s="1"/>
  <c r="F510" i="6"/>
  <c r="D354" i="6" l="1"/>
  <c r="F485" i="6"/>
  <c r="F526" i="6" s="1"/>
  <c r="F515" i="6"/>
  <c r="F527" i="6" s="1"/>
  <c r="F529" i="6" l="1"/>
  <c r="F536" i="6" l="1"/>
  <c r="D539" i="6" l="1"/>
  <c r="E652" i="6" s="1"/>
  <c r="E651" i="6"/>
  <c r="E554" i="6"/>
  <c r="M554" i="6"/>
  <c r="L637" i="6"/>
  <c r="G606" i="6"/>
  <c r="E627" i="6"/>
  <c r="J627" i="6"/>
  <c r="E618" i="6"/>
  <c r="J618" i="6"/>
  <c r="I597" i="6"/>
  <c r="E607" i="6"/>
  <c r="I587" i="6"/>
  <c r="D597" i="6"/>
  <c r="H576" i="6"/>
  <c r="E587" i="6"/>
  <c r="B564" i="6"/>
  <c r="D576" i="6"/>
  <c r="B544" i="6"/>
  <c r="H554" i="6"/>
</calcChain>
</file>

<file path=xl/comments1.xml><?xml version="1.0" encoding="utf-8"?>
<comments xmlns="http://schemas.openxmlformats.org/spreadsheetml/2006/main">
  <authors>
    <author>tdivincenzo</author>
    <author>ladmin</author>
  </authors>
  <commentList>
    <comment ref="B12" authorId="0">
      <text>
        <r>
          <rPr>
            <b/>
            <sz val="8"/>
            <color indexed="81"/>
            <rFont val="Tahoma"/>
            <family val="2"/>
          </rPr>
          <t>tdivincenzo:</t>
        </r>
        <r>
          <rPr>
            <sz val="8"/>
            <color indexed="81"/>
            <rFont val="Tahoma"/>
            <family val="2"/>
          </rPr>
          <t xml:space="preserve">
Source: INE Municipal Censes</t>
        </r>
      </text>
    </comment>
    <comment ref="B19" authorId="0">
      <text>
        <r>
          <rPr>
            <b/>
            <sz val="8"/>
            <color indexed="81"/>
            <rFont val="Tahoma"/>
            <family val="2"/>
          </rPr>
          <t>tdivincenzo:</t>
        </r>
        <r>
          <rPr>
            <sz val="8"/>
            <color indexed="81"/>
            <rFont val="Tahoma"/>
            <family val="2"/>
          </rPr>
          <t xml:space="preserve">
Manos campasinas report</t>
        </r>
      </text>
    </comment>
    <comment ref="B22" authorId="0">
      <text>
        <r>
          <rPr>
            <b/>
            <sz val="8"/>
            <color indexed="81"/>
            <rFont val="Tahoma"/>
            <family val="2"/>
          </rPr>
          <t>tdivincenzo:</t>
        </r>
        <r>
          <rPr>
            <sz val="8"/>
            <color indexed="81"/>
            <rFont val="Tahoma"/>
            <family val="2"/>
          </rPr>
          <t xml:space="preserve">
This is the estimated advantage of selling to the coyotes based on Anacafe interviews and Caficultura Campesina report produced by GIZ and Comite Campesino del Altiplano.  The advantage is not monetary, but in receiving cash today versus waiting for up to one month to be paid by the association.</t>
        </r>
      </text>
    </comment>
    <comment ref="B24" authorId="0">
      <text>
        <r>
          <rPr>
            <b/>
            <sz val="8"/>
            <color indexed="81"/>
            <rFont val="Tahoma"/>
            <family val="2"/>
          </rPr>
          <t>tdivincenzo:</t>
        </r>
        <r>
          <rPr>
            <sz val="8"/>
            <color indexed="81"/>
            <rFont val="Tahoma"/>
            <family val="2"/>
          </rPr>
          <t xml:space="preserve">
Based on Anacafe interviews and Caficultura Campesina report produced by GIZ and Comite Campesino del Altiplano</t>
        </r>
      </text>
    </comment>
    <comment ref="B30" authorId="0">
      <text>
        <r>
          <rPr>
            <b/>
            <sz val="8"/>
            <color indexed="81"/>
            <rFont val="Tahoma"/>
            <family val="2"/>
          </rPr>
          <t>tdivincenzo:</t>
        </r>
        <r>
          <rPr>
            <sz val="8"/>
            <color indexed="81"/>
            <rFont val="Tahoma"/>
            <family val="2"/>
          </rPr>
          <t xml:space="preserve">
Based on Anacafe targets</t>
        </r>
      </text>
    </comment>
    <comment ref="B31" authorId="0">
      <text>
        <r>
          <rPr>
            <b/>
            <sz val="8"/>
            <color indexed="81"/>
            <rFont val="Tahoma"/>
            <family val="2"/>
          </rPr>
          <t>tdivincenzo:</t>
        </r>
        <r>
          <rPr>
            <sz val="8"/>
            <color indexed="81"/>
            <rFont val="Tahoma"/>
            <family val="2"/>
          </rPr>
          <t xml:space="preserve">
Source: Anacafe estimates</t>
        </r>
      </text>
    </comment>
    <comment ref="B32" authorId="0">
      <text>
        <r>
          <rPr>
            <b/>
            <sz val="8"/>
            <color indexed="81"/>
            <rFont val="Tahoma"/>
            <family val="2"/>
          </rPr>
          <t>tdivincenzo:</t>
        </r>
        <r>
          <rPr>
            <sz val="8"/>
            <color indexed="81"/>
            <rFont val="Tahoma"/>
            <family val="2"/>
          </rPr>
          <t xml:space="preserve">
Source: Anacafe estimates</t>
        </r>
      </text>
    </comment>
    <comment ref="B41" authorId="0">
      <text>
        <r>
          <rPr>
            <b/>
            <sz val="8"/>
            <color indexed="81"/>
            <rFont val="Tahoma"/>
            <family val="2"/>
          </rPr>
          <t>tdivincenzo:</t>
        </r>
        <r>
          <rPr>
            <sz val="8"/>
            <color indexed="81"/>
            <rFont val="Tahoma"/>
            <family val="2"/>
          </rPr>
          <t xml:space="preserve">
Based on conversation with Anacafe</t>
        </r>
      </text>
    </comment>
    <comment ref="B44" authorId="0">
      <text>
        <r>
          <rPr>
            <b/>
            <sz val="8"/>
            <color indexed="81"/>
            <rFont val="Tahoma"/>
            <family val="2"/>
          </rPr>
          <t>tdivincenzo:</t>
        </r>
        <r>
          <rPr>
            <sz val="8"/>
            <color indexed="81"/>
            <rFont val="Tahoma"/>
            <family val="2"/>
          </rPr>
          <t xml:space="preserve">
Source: MAGA report "Agro en Cifras"</t>
        </r>
      </text>
    </comment>
    <comment ref="B45" authorId="0">
      <text>
        <r>
          <rPr>
            <b/>
            <sz val="8"/>
            <color indexed="81"/>
            <rFont val="Tahoma"/>
            <family val="2"/>
          </rPr>
          <t>tdivincenzo:</t>
        </r>
        <r>
          <rPr>
            <sz val="8"/>
            <color indexed="81"/>
            <rFont val="Tahoma"/>
            <family val="2"/>
          </rPr>
          <t xml:space="preserve">
Estimations of Anacafe staff</t>
        </r>
      </text>
    </comment>
    <comment ref="B48" authorId="0">
      <text>
        <r>
          <rPr>
            <b/>
            <sz val="8"/>
            <color indexed="81"/>
            <rFont val="Tahoma"/>
            <family val="2"/>
          </rPr>
          <t xml:space="preserve">tdivincenzo:
</t>
        </r>
        <r>
          <rPr>
            <sz val="8"/>
            <color indexed="81"/>
            <rFont val="Tahoma"/>
            <family val="2"/>
          </rPr>
          <t>Wage increase by Guatemalan mandate</t>
        </r>
      </text>
    </comment>
    <comment ref="B49" authorId="0">
      <text>
        <r>
          <rPr>
            <b/>
            <sz val="8"/>
            <color indexed="81"/>
            <rFont val="Tahoma"/>
            <family val="2"/>
          </rPr>
          <t>tdivincenzo:</t>
        </r>
        <r>
          <rPr>
            <sz val="8"/>
            <color indexed="81"/>
            <rFont val="Tahoma"/>
            <family val="2"/>
          </rPr>
          <t xml:space="preserve">
Source: World Bank Pink Sheet 2012</t>
        </r>
      </text>
    </comment>
    <comment ref="B51" authorId="1">
      <text>
        <r>
          <rPr>
            <b/>
            <sz val="8"/>
            <color indexed="81"/>
            <rFont val="Tahoma"/>
            <family val="2"/>
          </rPr>
          <t>Source: Anacafe project document "Costos de Produccion 2012, Huehuetenango semi-tecnificado y tecnificado"</t>
        </r>
      </text>
    </comment>
    <comment ref="B116" authorId="0">
      <text>
        <r>
          <rPr>
            <b/>
            <sz val="8"/>
            <color indexed="81"/>
            <rFont val="Tahoma"/>
            <family val="2"/>
          </rPr>
          <t>tdivincenzo:</t>
        </r>
        <r>
          <rPr>
            <sz val="8"/>
            <color indexed="81"/>
            <rFont val="Tahoma"/>
            <family val="2"/>
          </rPr>
          <t xml:space="preserve">
There is no fee charged by the Assoc., but the producers has to agree to sell their coffee to the Assoc.</t>
        </r>
      </text>
    </comment>
    <comment ref="B168" authorId="0">
      <text>
        <r>
          <rPr>
            <b/>
            <sz val="8"/>
            <color indexed="81"/>
            <rFont val="Tahoma"/>
            <family val="2"/>
          </rPr>
          <t>tdivincenzo:</t>
        </r>
        <r>
          <rPr>
            <sz val="8"/>
            <color indexed="81"/>
            <rFont val="Tahoma"/>
            <family val="2"/>
          </rPr>
          <t xml:space="preserve">
source: given by USAID CBA guidance</t>
        </r>
      </text>
    </comment>
    <comment ref="B169" authorId="0">
      <text>
        <r>
          <rPr>
            <b/>
            <sz val="8"/>
            <color indexed="81"/>
            <rFont val="Tahoma"/>
            <family val="2"/>
          </rPr>
          <t>tdivincenzo:</t>
        </r>
        <r>
          <rPr>
            <sz val="8"/>
            <color indexed="81"/>
            <rFont val="Tahoma"/>
            <family val="2"/>
          </rPr>
          <t xml:space="preserve">
IMF and Bank of Guatemala projections between 4%-5%</t>
        </r>
      </text>
    </comment>
    <comment ref="B170" authorId="0">
      <text>
        <r>
          <rPr>
            <b/>
            <sz val="8"/>
            <color indexed="81"/>
            <rFont val="Tahoma"/>
            <family val="2"/>
          </rPr>
          <t>tdivincenzo:</t>
        </r>
        <r>
          <rPr>
            <sz val="8"/>
            <color indexed="81"/>
            <rFont val="Tahoma"/>
            <family val="2"/>
          </rPr>
          <t xml:space="preserve">
IMF projections</t>
        </r>
      </text>
    </comment>
    <comment ref="B171" authorId="0">
      <text>
        <r>
          <rPr>
            <b/>
            <sz val="8"/>
            <color indexed="81"/>
            <rFont val="Tahoma"/>
            <family val="2"/>
          </rPr>
          <t>tdivincenzo:</t>
        </r>
        <r>
          <rPr>
            <sz val="8"/>
            <color indexed="81"/>
            <rFont val="Tahoma"/>
            <family val="2"/>
          </rPr>
          <t xml:space="preserve">
OANDA.com 2011 average</t>
        </r>
      </text>
    </comment>
    <comment ref="B172" authorId="0">
      <text>
        <r>
          <rPr>
            <b/>
            <sz val="8"/>
            <color indexed="81"/>
            <rFont val="Tahoma"/>
            <charset val="1"/>
          </rPr>
          <t>tdivincenzo:</t>
        </r>
        <r>
          <rPr>
            <sz val="8"/>
            <color indexed="81"/>
            <rFont val="Tahoma"/>
            <charset val="1"/>
          </rPr>
          <t xml:space="preserve">
Calculated based on World Bank trade statistics</t>
        </r>
      </text>
    </comment>
    <comment ref="B174" authorId="0">
      <text>
        <r>
          <rPr>
            <b/>
            <sz val="8"/>
            <color indexed="81"/>
            <rFont val="Tahoma"/>
            <charset val="1"/>
          </rPr>
          <t>tdivincenzo:</t>
        </r>
        <r>
          <rPr>
            <sz val="8"/>
            <color indexed="81"/>
            <rFont val="Tahoma"/>
            <charset val="1"/>
          </rPr>
          <t xml:space="preserve">
Estimated based on experience in other developing countries</t>
        </r>
      </text>
    </comment>
    <comment ref="B180" authorId="0">
      <text>
        <r>
          <rPr>
            <b/>
            <sz val="8"/>
            <color indexed="81"/>
            <rFont val="Tahoma"/>
            <family val="2"/>
          </rPr>
          <t>tdivincenzo:</t>
        </r>
        <r>
          <rPr>
            <sz val="8"/>
            <color indexed="81"/>
            <rFont val="Tahoma"/>
            <family val="2"/>
          </rPr>
          <t xml:space="preserve">
Source: Anacafe budget proposal May 2012</t>
        </r>
      </text>
    </comment>
    <comment ref="B349" authorId="0">
      <text>
        <r>
          <rPr>
            <b/>
            <sz val="8"/>
            <color indexed="81"/>
            <rFont val="Tahoma"/>
            <family val="2"/>
          </rPr>
          <t>tdivincenzo:</t>
        </r>
        <r>
          <rPr>
            <sz val="8"/>
            <color indexed="81"/>
            <rFont val="Tahoma"/>
            <family val="2"/>
          </rPr>
          <t xml:space="preserve">
Only a portion of project costs (65%) are attributed to the results of the coffee producers as half of their project beneficiaries fall under this category</t>
        </r>
      </text>
    </comment>
    <comment ref="B534" authorId="0">
      <text>
        <r>
          <rPr>
            <b/>
            <sz val="8"/>
            <color indexed="81"/>
            <rFont val="Tahoma"/>
            <family val="2"/>
          </rPr>
          <t>tdivincenzo:</t>
        </r>
        <r>
          <rPr>
            <sz val="8"/>
            <color indexed="81"/>
            <rFont val="Tahoma"/>
            <family val="2"/>
          </rPr>
          <t xml:space="preserve">
Only a portion of project costs (65%) are attributed to the results of the coffee producers as half of their project beneficiaries fall under this category</t>
        </r>
      </text>
    </comment>
    <comment ref="B664" authorId="0">
      <text>
        <r>
          <rPr>
            <b/>
            <sz val="8"/>
            <color indexed="81"/>
            <rFont val="Tahoma"/>
            <family val="2"/>
          </rPr>
          <t>tdivincenzo:</t>
        </r>
        <r>
          <rPr>
            <sz val="8"/>
            <color indexed="81"/>
            <rFont val="Tahoma"/>
            <family val="2"/>
          </rPr>
          <t xml:space="preserve">
source:   MIFAPRO/INE estimates based on ENCOVI and Municipal Censes</t>
        </r>
      </text>
    </comment>
    <comment ref="B668" authorId="0">
      <text>
        <r>
          <rPr>
            <b/>
            <sz val="8"/>
            <color indexed="81"/>
            <rFont val="Tahoma"/>
            <family val="2"/>
          </rPr>
          <t>tdivincenzo:</t>
        </r>
        <r>
          <rPr>
            <sz val="8"/>
            <color indexed="81"/>
            <rFont val="Tahoma"/>
            <family val="2"/>
          </rPr>
          <t xml:space="preserve">
source: municipal censes</t>
        </r>
      </text>
    </comment>
    <comment ref="B672" authorId="0">
      <text>
        <r>
          <rPr>
            <b/>
            <sz val="8"/>
            <color indexed="81"/>
            <rFont val="Tahoma"/>
            <family val="2"/>
          </rPr>
          <t>tdivincenzo:</t>
        </r>
        <r>
          <rPr>
            <sz val="8"/>
            <color indexed="81"/>
            <rFont val="Tahoma"/>
            <family val="2"/>
          </rPr>
          <t xml:space="preserve">
source: municipal censes</t>
        </r>
      </text>
    </comment>
  </commentList>
</comments>
</file>

<file path=xl/sharedStrings.xml><?xml version="1.0" encoding="utf-8"?>
<sst xmlns="http://schemas.openxmlformats.org/spreadsheetml/2006/main" count="841" uniqueCount="280">
  <si>
    <t>Fertilizer</t>
  </si>
  <si>
    <t>IRR</t>
  </si>
  <si>
    <t>Average area under cultivation</t>
  </si>
  <si>
    <t>Ha</t>
  </si>
  <si>
    <t xml:space="preserve">Pesticides </t>
  </si>
  <si>
    <t>kg/ha</t>
  </si>
  <si>
    <t>labor-days/ha</t>
  </si>
  <si>
    <t xml:space="preserve">Exchange rate </t>
  </si>
  <si>
    <t>Year&lt;&lt;&lt;&lt;</t>
  </si>
  <si>
    <t>Average annual increase in usage of all inputs</t>
  </si>
  <si>
    <t xml:space="preserve">Average size of household </t>
  </si>
  <si>
    <t>members</t>
  </si>
  <si>
    <t>Annual increase in usage of all inputs</t>
  </si>
  <si>
    <t>Input usage growth index</t>
  </si>
  <si>
    <t>Real wage growth index</t>
  </si>
  <si>
    <t>Incremental Net Cash Flow</t>
  </si>
  <si>
    <t>Project discount rate</t>
  </si>
  <si>
    <t>Without intervention</t>
  </si>
  <si>
    <t>With intervention</t>
  </si>
  <si>
    <t>Seedlings</t>
  </si>
  <si>
    <t>Tools</t>
  </si>
  <si>
    <t>Service Fees to Coop</t>
  </si>
  <si>
    <t>Crop certification (organic)</t>
  </si>
  <si>
    <t>number/ha</t>
  </si>
  <si>
    <t>Pruning</t>
  </si>
  <si>
    <t xml:space="preserve">Nursery </t>
  </si>
  <si>
    <t>Baskets</t>
  </si>
  <si>
    <t>Nylon bags</t>
  </si>
  <si>
    <r>
      <t>Traps (</t>
    </r>
    <r>
      <rPr>
        <i/>
        <sz val="11"/>
        <color theme="1"/>
        <rFont val="Calibri"/>
        <family val="2"/>
        <scheme val="minor"/>
      </rPr>
      <t>brocas</t>
    </r>
    <r>
      <rPr>
        <sz val="11"/>
        <color theme="1"/>
        <rFont val="Calibri"/>
        <family val="2"/>
        <scheme val="minor"/>
      </rPr>
      <t>)</t>
    </r>
  </si>
  <si>
    <r>
      <t xml:space="preserve">Labor Requirements - </t>
    </r>
    <r>
      <rPr>
        <sz val="11"/>
        <color rgb="FFFF0000"/>
        <rFont val="Calibri"/>
        <family val="2"/>
        <scheme val="minor"/>
      </rPr>
      <t xml:space="preserve">Family </t>
    </r>
  </si>
  <si>
    <r>
      <t xml:space="preserve">Labor Requirements - </t>
    </r>
    <r>
      <rPr>
        <sz val="11"/>
        <color rgb="FFFF0000"/>
        <rFont val="Calibri"/>
        <family val="2"/>
        <scheme val="minor"/>
      </rPr>
      <t>Hired</t>
    </r>
  </si>
  <si>
    <t>year</t>
  </si>
  <si>
    <t>membership/year</t>
  </si>
  <si>
    <t>Nursery</t>
  </si>
  <si>
    <t>Wood</t>
  </si>
  <si>
    <t>Worms</t>
  </si>
  <si>
    <t xml:space="preserve">Shade cloth </t>
  </si>
  <si>
    <t>Quetz/USD</t>
  </si>
  <si>
    <t>Macetas</t>
  </si>
  <si>
    <t>Coffee price change  index</t>
  </si>
  <si>
    <t>Domestic inflation rate</t>
  </si>
  <si>
    <t>bags/ha</t>
  </si>
  <si>
    <t>Foreign inflation rate</t>
  </si>
  <si>
    <t>Percentage of organic coffee sold to coyote</t>
  </si>
  <si>
    <t>Percentage of organic coffee sold to association</t>
  </si>
  <si>
    <t>see line 31</t>
  </si>
  <si>
    <t xml:space="preserve">Annual Domestic Inflation </t>
  </si>
  <si>
    <t>Annual Foreign Inflation</t>
  </si>
  <si>
    <t>Foreign Inflation Index</t>
  </si>
  <si>
    <t>Land Rent</t>
  </si>
  <si>
    <t>Q/year</t>
  </si>
  <si>
    <t>Q/manzana/year</t>
  </si>
  <si>
    <t>Annual increase in yield</t>
  </si>
  <si>
    <t>qq/ha</t>
  </si>
  <si>
    <t>Q/ha</t>
  </si>
  <si>
    <r>
      <t xml:space="preserve">Labor - </t>
    </r>
    <r>
      <rPr>
        <sz val="11"/>
        <color rgb="FFFF0000"/>
        <rFont val="Calibri"/>
        <family val="2"/>
        <scheme val="minor"/>
      </rPr>
      <t>Family or Hired</t>
    </r>
  </si>
  <si>
    <t>Material Inputs - Organic</t>
  </si>
  <si>
    <t>Net Value</t>
  </si>
  <si>
    <t>Q/qq</t>
  </si>
  <si>
    <t>Adoption Rate</t>
  </si>
  <si>
    <t>Operating Costs - Labor</t>
  </si>
  <si>
    <t>Operating Costs - Material Inputs</t>
  </si>
  <si>
    <t>Production Value - Coyote Sales</t>
  </si>
  <si>
    <t>Production Value - Association Sales</t>
  </si>
  <si>
    <r>
      <t xml:space="preserve">WITHOUT </t>
    </r>
    <r>
      <rPr>
        <u/>
        <sz val="12"/>
        <color theme="1"/>
        <rFont val="Calibri"/>
        <family val="2"/>
        <scheme val="minor"/>
      </rPr>
      <t>Intervention</t>
    </r>
  </si>
  <si>
    <r>
      <t>WITH</t>
    </r>
    <r>
      <rPr>
        <u/>
        <sz val="12"/>
        <color theme="1"/>
        <rFont val="Calibri"/>
        <family val="2"/>
        <scheme val="minor"/>
      </rPr>
      <t xml:space="preserve"> Intervention</t>
    </r>
  </si>
  <si>
    <t>NPV</t>
  </si>
  <si>
    <t>total</t>
  </si>
  <si>
    <t>USAID</t>
  </si>
  <si>
    <t>Total Development Outlay</t>
  </si>
  <si>
    <t>Anacafe Cost Share</t>
  </si>
  <si>
    <t>Sub-Awardee Leverage</t>
  </si>
  <si>
    <t>Project Costs</t>
  </si>
  <si>
    <t>farms</t>
  </si>
  <si>
    <t>EVALUATION OF A TYPICAL FAMILY FARM MODEL</t>
  </si>
  <si>
    <t>Model Parameters</t>
  </si>
  <si>
    <t>Anacafe Rural Value Chain Program in Arabica Coffee 2012-2016</t>
  </si>
  <si>
    <r>
      <t>meters</t>
    </r>
    <r>
      <rPr>
        <vertAlign val="superscript"/>
        <sz val="11"/>
        <color theme="1"/>
        <rFont val="Calibri"/>
        <family val="2"/>
        <scheme val="minor"/>
      </rPr>
      <t>2</t>
    </r>
    <r>
      <rPr>
        <sz val="11"/>
        <color theme="1"/>
        <rFont val="Calibri"/>
        <family val="2"/>
        <scheme val="minor"/>
      </rPr>
      <t>/ha</t>
    </r>
  </si>
  <si>
    <t>Q/seedling</t>
  </si>
  <si>
    <t>Q/bag</t>
  </si>
  <si>
    <t>Q/trap</t>
  </si>
  <si>
    <t>Q/basket</t>
  </si>
  <si>
    <t>Q/bags</t>
  </si>
  <si>
    <t>Q/kg</t>
  </si>
  <si>
    <t>Q/m2</t>
  </si>
  <si>
    <t>Q/labor-day</t>
  </si>
  <si>
    <t>Q/producer</t>
  </si>
  <si>
    <t>Sensitivity Analysis</t>
  </si>
  <si>
    <t>Area under cultivation</t>
  </si>
  <si>
    <t>Organic NPV</t>
  </si>
  <si>
    <t>Total NPV</t>
  </si>
  <si>
    <t>W/ Intervention price of organic</t>
  </si>
  <si>
    <t>Project Discount Rate</t>
  </si>
  <si>
    <t>Beneficiary Analysis</t>
  </si>
  <si>
    <t>USAID/Guatemala</t>
  </si>
  <si>
    <r>
      <rPr>
        <b/>
        <sz val="10"/>
        <rFont val="Verdana"/>
        <family val="2"/>
      </rPr>
      <t xml:space="preserve">Project Type: </t>
    </r>
    <r>
      <rPr>
        <sz val="10"/>
        <rFont val="Verdana"/>
        <family val="2"/>
      </rPr>
      <t>Targeted</t>
    </r>
  </si>
  <si>
    <t>USAID Total Project Cost</t>
  </si>
  <si>
    <t>Net Present Value</t>
  </si>
  <si>
    <t>Internal Rate of Return</t>
  </si>
  <si>
    <t>Beneficiary Definition</t>
  </si>
  <si>
    <t>Beneficiary Population by Poverty Level</t>
  </si>
  <si>
    <t>Female</t>
  </si>
  <si>
    <t>Male</t>
  </si>
  <si>
    <t>Beneficiary Population by Gender</t>
  </si>
  <si>
    <t>Rural Value Chain Project - Anacafe</t>
  </si>
  <si>
    <t>Expected number of farmers</t>
  </si>
  <si>
    <t>Percent of farmers - Organic</t>
  </si>
  <si>
    <t>last three years</t>
  </si>
  <si>
    <t>$/ha</t>
  </si>
  <si>
    <t>Indigenous</t>
  </si>
  <si>
    <t>Non-Indigenous</t>
  </si>
  <si>
    <t>Nominal</t>
  </si>
  <si>
    <t>Real</t>
  </si>
  <si>
    <t>Farmgate coyote "advantage"</t>
  </si>
  <si>
    <t>Percentage of non-organic coffee sold to coyote</t>
  </si>
  <si>
    <t>Percentage of non-organic coffee sold to association</t>
  </si>
  <si>
    <t>Project NPV with different numbers of organic and non-organic farms</t>
  </si>
  <si>
    <t>W/ Intervention price of non-organic</t>
  </si>
  <si>
    <t>Non-organic NPV</t>
  </si>
  <si>
    <t>Material Inputs - Non-organic</t>
  </si>
  <si>
    <t>Percent of farmers - Non-organic</t>
  </si>
  <si>
    <t>Yield growth rate index with intervention (Non-organic)</t>
  </si>
  <si>
    <t>Yield growth rate index (Without Intervention)</t>
  </si>
  <si>
    <t>see line 32</t>
  </si>
  <si>
    <t>Average annual increase in coffee yield</t>
  </si>
  <si>
    <t>number/mz</t>
  </si>
  <si>
    <t>qq/mz</t>
  </si>
  <si>
    <t>ltr/mz</t>
  </si>
  <si>
    <t>labor-days/mz</t>
  </si>
  <si>
    <t>Weeding</t>
  </si>
  <si>
    <t>Soil Conservation</t>
  </si>
  <si>
    <t>Fertilizer Application</t>
  </si>
  <si>
    <t>Nutrient Application</t>
  </si>
  <si>
    <t>Harvesting</t>
  </si>
  <si>
    <t>Soil Testing</t>
  </si>
  <si>
    <t>cuerdas/mz</t>
  </si>
  <si>
    <t>Shade Management</t>
  </si>
  <si>
    <t>qq unmilled/mz</t>
  </si>
  <si>
    <t>Farmgate price of non-organic parchment</t>
  </si>
  <si>
    <t>Farmgate price of organic parchment</t>
  </si>
  <si>
    <t>Average annual café yield - organic parchment</t>
  </si>
  <si>
    <t>Average annual café yield - non-organic parchment</t>
  </si>
  <si>
    <t>Complete Fertilizer (15-15-15)</t>
  </si>
  <si>
    <t>Complete Fertilizer (20-20-0)</t>
  </si>
  <si>
    <t>Soil Enhancements (lime, sand, etc)</t>
  </si>
  <si>
    <t>Organic Fertilizer (compost)</t>
  </si>
  <si>
    <t>Nutrients</t>
  </si>
  <si>
    <t>Milling (labor and fuel)</t>
  </si>
  <si>
    <t>Q/ltr</t>
  </si>
  <si>
    <t>Labor - Fertilizer Application</t>
  </si>
  <si>
    <t>Labor - Harvest</t>
  </si>
  <si>
    <t>Q/cuerda</t>
  </si>
  <si>
    <t>Labor - Weeding</t>
  </si>
  <si>
    <t>baskets/laborer</t>
  </si>
  <si>
    <t>Labor and Milling - Organic</t>
  </si>
  <si>
    <t>Labor and Milling - Non-organic</t>
  </si>
  <si>
    <t>Annual Increase in input use and real wages</t>
  </si>
  <si>
    <t>Percentage of coffee sold to coyotes without project</t>
  </si>
  <si>
    <t>Percentage of coffee sold to coyotes with project</t>
  </si>
  <si>
    <t>Without Project Coyote Advantage</t>
  </si>
  <si>
    <t>With Project Coyote Advantage</t>
  </si>
  <si>
    <t>Coyote Advantages with and without project (organic npv only)</t>
  </si>
  <si>
    <t>Transport of seedlings</t>
  </si>
  <si>
    <t>Digging holes</t>
  </si>
  <si>
    <t>Planting</t>
  </si>
  <si>
    <t>Planting New Coffee</t>
  </si>
  <si>
    <t>Q/hole</t>
  </si>
  <si>
    <t>Average annual increase in wages</t>
  </si>
  <si>
    <t>Average annual increase of coffee prices</t>
  </si>
  <si>
    <t>Annual change in real coffee price</t>
  </si>
  <si>
    <t>Annual change in real wages</t>
  </si>
  <si>
    <t>Project Implementation Year 1</t>
  </si>
  <si>
    <t>Project Implementation Year 2</t>
  </si>
  <si>
    <t>Project Implementation Year 3</t>
  </si>
  <si>
    <t>Project Implementation Year 4</t>
  </si>
  <si>
    <t>Project Implementation Year 5</t>
  </si>
  <si>
    <t>Net Cash Flow of Anacafe Project</t>
  </si>
  <si>
    <t>Project NPV with different prices for organic and non-organic parchment w/ intervention</t>
  </si>
  <si>
    <t>Foreign exchange premium</t>
  </si>
  <si>
    <t>Conversion factor - investment cost and imported farm inputs</t>
  </si>
  <si>
    <t>Conversion factor - labor</t>
  </si>
  <si>
    <t>Spoilage Rate</t>
  </si>
  <si>
    <t>Table 2.  Project Information:</t>
  </si>
  <si>
    <t>Table 1.  Farm Information:</t>
  </si>
  <si>
    <t>Table 3.  Input Requirements:</t>
  </si>
  <si>
    <t>Table 4.  Input Costs (Current Prices):</t>
  </si>
  <si>
    <t>Table 5.  Input Requirements:</t>
  </si>
  <si>
    <t>Table 6.  Macro information and Conversions</t>
  </si>
  <si>
    <t>Manzanas/hectare</t>
  </si>
  <si>
    <t>Cuerdas/hectare</t>
  </si>
  <si>
    <t>Kg/quintal (qq)</t>
  </si>
  <si>
    <t>Table 7.  NOMINAL Project Funding (USD)</t>
  </si>
  <si>
    <t>Table 8.  Growth Rates and Growth Indices</t>
  </si>
  <si>
    <t>Financial Analysis</t>
  </si>
  <si>
    <t>Economic Analysis</t>
  </si>
  <si>
    <t>Real Exchange Rate</t>
  </si>
  <si>
    <t>Movement in Real Exchange Rate</t>
  </si>
  <si>
    <t>Adjusted Real Exchange Rate</t>
  </si>
  <si>
    <t>Nominal Exchange Rate</t>
  </si>
  <si>
    <t>Relative Inflation Index</t>
  </si>
  <si>
    <t>Domestic Inflation Index</t>
  </si>
  <si>
    <r>
      <t xml:space="preserve">   </t>
    </r>
    <r>
      <rPr>
        <b/>
        <u/>
        <sz val="11"/>
        <color theme="1"/>
        <rFont val="Calibri"/>
        <family val="2"/>
        <scheme val="minor"/>
      </rPr>
      <t xml:space="preserve">INCREMENTAL </t>
    </r>
    <r>
      <rPr>
        <u/>
        <sz val="11"/>
        <color theme="1"/>
        <rFont val="Calibri"/>
        <family val="2"/>
        <scheme val="minor"/>
      </rPr>
      <t>Inputs and Outputs</t>
    </r>
  </si>
  <si>
    <t>Incremental Net Benefits  - Organic Farms</t>
  </si>
  <si>
    <t>Incremental Net Benefits - Non-Organic Farms</t>
  </si>
  <si>
    <t>Total Incremental Net Benefits</t>
  </si>
  <si>
    <t>NPV 12%</t>
  </si>
  <si>
    <t>CALCULATION OF FEP FOR Guatemala BASED ON DR. D Model</t>
  </si>
  <si>
    <t>Year</t>
  </si>
  <si>
    <t xml:space="preserve">Imports of Goods and Services </t>
  </si>
  <si>
    <t>Customs and Other Import Duties</t>
  </si>
  <si>
    <t>Exports of Goods and Services</t>
  </si>
  <si>
    <t>Taxes on Exports</t>
  </si>
  <si>
    <t>Export Subsidy</t>
  </si>
  <si>
    <t>FEP</t>
  </si>
  <si>
    <t>Consumption</t>
  </si>
  <si>
    <t>Investment</t>
  </si>
  <si>
    <t xml:space="preserve">Total </t>
  </si>
  <si>
    <t>Effective</t>
  </si>
  <si>
    <t>VATor GST</t>
  </si>
  <si>
    <t>Exercie Tax</t>
  </si>
  <si>
    <t xml:space="preserve">    V</t>
  </si>
  <si>
    <t>Rho-2</t>
  </si>
  <si>
    <t>Demand (TD)</t>
  </si>
  <si>
    <t>Tariff (T)</t>
  </si>
  <si>
    <t>a</t>
  </si>
  <si>
    <t>b</t>
  </si>
  <si>
    <t>(a+b)/TD</t>
  </si>
  <si>
    <t>(0.3*T+0.75)*V</t>
  </si>
  <si>
    <t>Rho-1 +Rho-2</t>
  </si>
  <si>
    <t>FEP =</t>
  </si>
  <si>
    <t>Source:</t>
  </si>
  <si>
    <t>World Bank</t>
  </si>
  <si>
    <t>Description:</t>
  </si>
  <si>
    <t>Imports of Goods and Services (current LCU)</t>
  </si>
  <si>
    <t>Customs and Other Import Duties (current LCU)</t>
  </si>
  <si>
    <t>Exports of goods and Services (current LCU)</t>
  </si>
  <si>
    <t>Taxes on Exports (current LCU)</t>
  </si>
  <si>
    <t>No Export Subsidy</t>
  </si>
  <si>
    <t>Ideally, we would want to calculate the FEP using the following data and calculations.  However, using the 8.19% figure provided by the first five data points will suffice</t>
  </si>
  <si>
    <t>Average annual increase in yield in years 2-5 (Organic)</t>
  </si>
  <si>
    <t>Average annual increase in yield in years 2-5 (Non-organic)</t>
  </si>
  <si>
    <r>
      <t xml:space="preserve">Table 13.  Cash Flow, </t>
    </r>
    <r>
      <rPr>
        <b/>
        <sz val="14"/>
        <color theme="1"/>
        <rFont val="Calibri"/>
        <family val="2"/>
        <scheme val="minor"/>
      </rPr>
      <t>Anacafe Project</t>
    </r>
    <r>
      <rPr>
        <b/>
        <sz val="11"/>
        <color theme="1"/>
        <rFont val="Calibri"/>
        <family val="2"/>
        <scheme val="minor"/>
      </rPr>
      <t xml:space="preserve"> Total Economy Point of View (7,000 households) - REAL Quetzales</t>
    </r>
  </si>
  <si>
    <t>NPV Organic Farms  12%</t>
  </si>
  <si>
    <t>NPV Non-Organic Farms  12%</t>
  </si>
  <si>
    <t>Non-Organic NPV</t>
  </si>
  <si>
    <t>Average Annual Organic Yield Increase (yrs 2-5)</t>
  </si>
  <si>
    <t>Average Annual Non-Organic Yield Increase (yrs 2-5)</t>
  </si>
  <si>
    <t>Annual Change in Real Coffee Price</t>
  </si>
  <si>
    <t>Consumption per day</t>
  </si>
  <si>
    <t>Below Local Extreme Poverty Line (appx $1.57)</t>
  </si>
  <si>
    <t>Between Extreme and Absolute Local Poverty Lines (appx $1.57 - $3.23)</t>
  </si>
  <si>
    <t>Above Local Absolute Poverty Line</t>
  </si>
  <si>
    <t>Total Beneficiaries in Year 20</t>
  </si>
  <si>
    <t>Beneficiary Population by Indigenous/Non-Indigenous</t>
  </si>
  <si>
    <t xml:space="preserve">Under the Feed the Future Initiative, a beneficiary is defined as any individual who experiences an increase in standards of living though an increase in income and/or through an improvement of health staus.  Under the Anacafe Rural Value Chain Program, a beneficiary is defined as a member of household working directly with one of the agricultural cooperatives that receives financial and technical support from Anacafe.  These cooperatives are in 18 municipalities within the departments of San Marcos and Huehuetenango targeted by FtF/Guatemala.  The targeted number of beneficiaries has been set by Anacafe and USAID/Guatemala. </t>
  </si>
  <si>
    <t>Percent of farmers needing Renovation - organic and non-organic</t>
  </si>
  <si>
    <t>Renovation Labor (Organic and Non-organic)</t>
  </si>
  <si>
    <t>Renovation Material Inputs (Organic and Non-organic)</t>
  </si>
  <si>
    <t>Yield growth rate index with intervention and with/without Renovation (Organic)</t>
  </si>
  <si>
    <t>Yield growth rate index with intervention and Renovation (Non-organic)</t>
  </si>
  <si>
    <t>Table 9.  Cash Flow, Organic Farmer Point of View NO Coffee Plant Renovation- REAL Quetzales</t>
  </si>
  <si>
    <t>Table 10.  Cash Flow, Organic Farmer Point of View WITH Coffee Plant Renovation- REAL Quetzales</t>
  </si>
  <si>
    <t>Operating Costs - Renovation (only 30% of farm)</t>
  </si>
  <si>
    <t>Table 11.  Cash Flow, Non-organic Farmer Point of View NO Coffee Plant Renovation - REAL Quetzales</t>
  </si>
  <si>
    <t>Table 12.  Cash Flow, Non-organic Farmer Point of View WITH Coffee Plant Renovation - REAL Quetzales</t>
  </si>
  <si>
    <t>Incremental Net Benefits  - Organic Farms WITH Renovation</t>
  </si>
  <si>
    <t>Incremental Net Benefits - Non-Organic Farms WITH Renovation</t>
  </si>
  <si>
    <t>Percent of farmers needing Renovation</t>
  </si>
  <si>
    <t>Average Annual Non-Organic Yield Increase with Renovation (yrs 2-5)</t>
  </si>
  <si>
    <t>ERR</t>
  </si>
  <si>
    <t>Targeted number of farmers</t>
  </si>
  <si>
    <t>Table 14.  Input Requirements:</t>
  </si>
  <si>
    <t>Table 15.  Cash Flow, Organic Farmer Point of View NO Coffee Plant Renovation- REAL Quetzales</t>
  </si>
  <si>
    <t>Table 16.  Cash Flow, Organic Farmer Point of View WITH Coffee Plant Renovation- REAL Quetzales</t>
  </si>
  <si>
    <t>Table 17.  Cash Flow, Non-organic Farmer Point of View NO Coffee Plant Renovation - REAL Quetzales</t>
  </si>
  <si>
    <t>Table 18.  Cash Flow, Non-organic Farmer Point of View WITH Coffee Plant Renovation - REAL Quetzales</t>
  </si>
  <si>
    <t>Table 19.  Cash Flow, Anacafe Project Total Economy Point of View (7,000 households) - REAL Quetzales</t>
  </si>
  <si>
    <t>Average annual increase in yield in years 4-6 with new coffee plants (Non-organic)</t>
  </si>
  <si>
    <t>Average annual increase in yield in out-years</t>
  </si>
  <si>
    <t>Percent of Budget Dedicated to Coffee Interventions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</si>
</sst>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
    <numFmt numFmtId="168" formatCode="[$Q-100A]#,##0"/>
    <numFmt numFmtId="169" formatCode="[$Q-100A]#,##0_);\([$Q-100A]#,##0\)"/>
    <numFmt numFmtId="170" formatCode="#,##0__;\(#,##0\)"/>
    <numFmt numFmtId="171" formatCode="_(* #,##0_);_(* \(#,##0\);_(* &quot;-&quot;????_);_(@_)"/>
  </numFmts>
  <fonts count="33" x14ac:knownFonts="1">
    <font>
      <sz val="11"/>
      <color theme="1"/>
      <name val="Calibri"/>
      <family val="2"/>
      <scheme val="minor"/>
    </font>
    <font>
      <b/>
      <sz val="11"/>
      <color theme="1"/>
      <name val="Calibri"/>
      <family val="2"/>
      <scheme val="minor"/>
    </font>
    <font>
      <u/>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b/>
      <sz val="8"/>
      <color indexed="81"/>
      <name val="Tahoma"/>
      <family val="2"/>
    </font>
    <font>
      <strike/>
      <sz val="11"/>
      <color theme="1"/>
      <name val="Calibri"/>
      <family val="2"/>
      <scheme val="minor"/>
    </font>
    <font>
      <i/>
      <sz val="11"/>
      <color theme="1"/>
      <name val="Calibri"/>
      <family val="2"/>
      <scheme val="minor"/>
    </font>
    <font>
      <sz val="11"/>
      <color rgb="FF000000"/>
      <name val="Arial"/>
      <family val="2"/>
    </font>
    <font>
      <b/>
      <sz val="11"/>
      <name val="Calibri"/>
      <family val="2"/>
      <scheme val="minor"/>
    </font>
    <font>
      <sz val="8"/>
      <color indexed="81"/>
      <name val="Tahoma"/>
      <family val="2"/>
    </font>
    <font>
      <b/>
      <u/>
      <sz val="12"/>
      <color theme="1"/>
      <name val="Calibri"/>
      <family val="2"/>
      <scheme val="minor"/>
    </font>
    <font>
      <u/>
      <sz val="12"/>
      <color theme="1"/>
      <name val="Calibri"/>
      <family val="2"/>
      <scheme val="minor"/>
    </font>
    <font>
      <b/>
      <sz val="14"/>
      <color theme="1"/>
      <name val="Calibri"/>
      <family val="2"/>
      <scheme val="minor"/>
    </font>
    <font>
      <b/>
      <sz val="16"/>
      <color theme="0" tint="-4.9989318521683403E-2"/>
      <name val="Calibri"/>
      <family val="2"/>
      <scheme val="minor"/>
    </font>
    <font>
      <sz val="11"/>
      <color theme="0" tint="-4.9989318521683403E-2"/>
      <name val="Calibri"/>
      <family val="2"/>
      <scheme val="minor"/>
    </font>
    <font>
      <b/>
      <sz val="11"/>
      <color theme="0" tint="-4.9989318521683403E-2"/>
      <name val="Calibri"/>
      <family val="2"/>
      <scheme val="minor"/>
    </font>
    <font>
      <b/>
      <sz val="20"/>
      <color theme="1"/>
      <name val="Calibri"/>
      <family val="2"/>
      <scheme val="minor"/>
    </font>
    <font>
      <vertAlign val="superscript"/>
      <sz val="11"/>
      <color theme="1"/>
      <name val="Calibri"/>
      <family val="2"/>
      <scheme val="minor"/>
    </font>
    <font>
      <sz val="11"/>
      <color theme="0" tint="-0.249977111117893"/>
      <name val="Calibri"/>
      <family val="2"/>
      <scheme val="minor"/>
    </font>
    <font>
      <b/>
      <sz val="10"/>
      <name val="Verdana"/>
      <family val="2"/>
    </font>
    <font>
      <sz val="10"/>
      <name val="Verdana"/>
      <family val="2"/>
    </font>
    <font>
      <b/>
      <u/>
      <sz val="10"/>
      <name val="Verdana"/>
      <family val="2"/>
    </font>
    <font>
      <sz val="8"/>
      <color indexed="81"/>
      <name val="Tahoma"/>
      <charset val="1"/>
    </font>
    <font>
      <b/>
      <sz val="8"/>
      <color indexed="81"/>
      <name val="Tahoma"/>
      <charset val="1"/>
    </font>
    <font>
      <sz val="11"/>
      <color rgb="FFF74343"/>
      <name val="Calibri"/>
      <family val="2"/>
      <scheme val="minor"/>
    </font>
    <font>
      <sz val="11"/>
      <color theme="0" tint="-0.14999847407452621"/>
      <name val="Calibri"/>
      <family val="2"/>
      <scheme val="minor"/>
    </font>
    <font>
      <b/>
      <u/>
      <sz val="11"/>
      <color theme="1"/>
      <name val="Calibri"/>
      <family val="2"/>
      <scheme val="minor"/>
    </font>
    <font>
      <sz val="12"/>
      <color theme="1"/>
      <name val="Calibri"/>
      <family val="2"/>
      <scheme val="minor"/>
    </font>
    <font>
      <sz val="11"/>
      <color indexed="8"/>
      <name val="Calibri"/>
      <family val="2"/>
    </font>
    <font>
      <sz val="10"/>
      <name val="Arial"/>
      <family val="2"/>
    </font>
    <font>
      <b/>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9"/>
        <bgColor indexed="8"/>
      </patternFill>
    </fill>
  </fills>
  <borders count="49">
    <border>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s>
  <cellStyleXfs count="17">
    <xf numFmtId="0" fontId="0"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29"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3" fontId="31" fillId="7" borderId="0" applyFont="0" applyFill="0" applyBorder="0" applyAlignment="0" applyProtection="0"/>
    <xf numFmtId="44" fontId="29" fillId="0" borderId="0" applyFont="0" applyFill="0" applyBorder="0" applyAlignment="0" applyProtection="0"/>
    <xf numFmtId="0" fontId="29" fillId="0" borderId="0"/>
    <xf numFmtId="0" fontId="31" fillId="0" borderId="0"/>
    <xf numFmtId="0" fontId="31" fillId="0" borderId="0">
      <alignment wrapText="1"/>
    </xf>
    <xf numFmtId="0" fontId="4" fillId="0" borderId="0"/>
    <xf numFmtId="9" fontId="29"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cellStyleXfs>
  <cellXfs count="372">
    <xf numFmtId="0" fontId="0" fillId="0" borderId="0" xfId="0"/>
    <xf numFmtId="0" fontId="1" fillId="0" borderId="0" xfId="0" applyFont="1"/>
    <xf numFmtId="0" fontId="0" fillId="0" borderId="0" xfId="0" applyBorder="1"/>
    <xf numFmtId="0" fontId="0" fillId="0" borderId="1" xfId="0" applyBorder="1"/>
    <xf numFmtId="0" fontId="0" fillId="0" borderId="0" xfId="0" applyFill="1" applyBorder="1"/>
    <xf numFmtId="0" fontId="1" fillId="0" borderId="0" xfId="0" applyFont="1" applyBorder="1"/>
    <xf numFmtId="0" fontId="1" fillId="0" borderId="0" xfId="0" applyFont="1" applyFill="1" applyBorder="1"/>
    <xf numFmtId="0" fontId="0" fillId="0" borderId="0" xfId="0" applyFont="1"/>
    <xf numFmtId="2" fontId="0" fillId="0" borderId="0" xfId="0" applyNumberFormat="1"/>
    <xf numFmtId="0" fontId="0" fillId="0" borderId="6" xfId="0" applyBorder="1"/>
    <xf numFmtId="0" fontId="0" fillId="0" borderId="6" xfId="0" applyFill="1" applyBorder="1"/>
    <xf numFmtId="0" fontId="0" fillId="0" borderId="8" xfId="0" applyFill="1" applyBorder="1"/>
    <xf numFmtId="0" fontId="0" fillId="0" borderId="9" xfId="0" applyBorder="1"/>
    <xf numFmtId="0" fontId="0" fillId="0" borderId="10" xfId="0" applyBorder="1"/>
    <xf numFmtId="0" fontId="2" fillId="0" borderId="0" xfId="0" applyFont="1" applyBorder="1"/>
    <xf numFmtId="0" fontId="0" fillId="0" borderId="7" xfId="0" applyBorder="1"/>
    <xf numFmtId="0" fontId="0" fillId="0" borderId="8" xfId="0" applyBorder="1"/>
    <xf numFmtId="9" fontId="0" fillId="0" borderId="0" xfId="0" applyNumberFormat="1" applyFill="1" applyBorder="1"/>
    <xf numFmtId="0" fontId="0" fillId="0" borderId="6" xfId="0" applyFont="1" applyFill="1" applyBorder="1"/>
    <xf numFmtId="1" fontId="0" fillId="0" borderId="0" xfId="0" applyNumberFormat="1"/>
    <xf numFmtId="0" fontId="0" fillId="0" borderId="20" xfId="0" applyBorder="1"/>
    <xf numFmtId="1" fontId="1" fillId="0" borderId="0" xfId="0" applyNumberFormat="1" applyFont="1"/>
    <xf numFmtId="0" fontId="1" fillId="0" borderId="9" xfId="0" applyFont="1" applyBorder="1"/>
    <xf numFmtId="164" fontId="0" fillId="0" borderId="0" xfId="1" applyNumberFormat="1" applyFont="1"/>
    <xf numFmtId="164" fontId="0" fillId="0" borderId="0" xfId="0" applyNumberFormat="1"/>
    <xf numFmtId="2" fontId="0" fillId="0" borderId="0" xfId="0" applyNumberFormat="1" applyFill="1" applyBorder="1"/>
    <xf numFmtId="1" fontId="0" fillId="0" borderId="0" xfId="0" applyNumberFormat="1" applyFill="1" applyBorder="1"/>
    <xf numFmtId="0" fontId="0" fillId="0" borderId="26" xfId="0" applyBorder="1"/>
    <xf numFmtId="0" fontId="0" fillId="0" borderId="26" xfId="0" applyFill="1" applyBorder="1"/>
    <xf numFmtId="0" fontId="0" fillId="0" borderId="1" xfId="0" applyFill="1" applyBorder="1"/>
    <xf numFmtId="0" fontId="1" fillId="2" borderId="6" xfId="0" applyFont="1" applyFill="1" applyBorder="1"/>
    <xf numFmtId="0" fontId="1" fillId="2" borderId="8" xfId="0" applyFont="1" applyFill="1" applyBorder="1"/>
    <xf numFmtId="0" fontId="1" fillId="0" borderId="6" xfId="0" applyFont="1" applyBorder="1"/>
    <xf numFmtId="1" fontId="1" fillId="0" borderId="9" xfId="0" applyNumberFormat="1" applyFont="1" applyBorder="1"/>
    <xf numFmtId="0" fontId="1" fillId="0" borderId="9" xfId="0" applyFont="1" applyFill="1" applyBorder="1"/>
    <xf numFmtId="0" fontId="0" fillId="0" borderId="9" xfId="0" applyBorder="1" applyAlignment="1">
      <alignment horizontal="center"/>
    </xf>
    <xf numFmtId="1" fontId="0" fillId="0" borderId="9" xfId="0" applyNumberFormat="1" applyBorder="1"/>
    <xf numFmtId="0" fontId="7" fillId="0" borderId="0" xfId="0" applyFont="1" applyBorder="1"/>
    <xf numFmtId="0" fontId="0" fillId="0" borderId="26" xfId="0" applyBorder="1" applyAlignment="1">
      <alignment horizontal="left" indent="1"/>
    </xf>
    <xf numFmtId="0" fontId="0" fillId="0" borderId="2" xfId="0" applyBorder="1"/>
    <xf numFmtId="0" fontId="0" fillId="0" borderId="6" xfId="0" applyBorder="1" applyAlignment="1">
      <alignment horizontal="left" indent="1"/>
    </xf>
    <xf numFmtId="0" fontId="0" fillId="0" borderId="6" xfId="0" applyBorder="1" applyAlignment="1">
      <alignment horizontal="left"/>
    </xf>
    <xf numFmtId="0" fontId="0" fillId="0" borderId="1" xfId="0" applyFont="1" applyFill="1" applyBorder="1"/>
    <xf numFmtId="0" fontId="0" fillId="0" borderId="0" xfId="0" applyFont="1" applyFill="1" applyBorder="1"/>
    <xf numFmtId="1" fontId="0" fillId="0" borderId="7" xfId="0" applyNumberFormat="1" applyBorder="1"/>
    <xf numFmtId="0" fontId="0" fillId="0" borderId="9" xfId="0" applyFill="1" applyBorder="1"/>
    <xf numFmtId="0" fontId="0" fillId="0" borderId="12" xfId="0" applyFill="1" applyBorder="1"/>
    <xf numFmtId="0" fontId="1" fillId="0" borderId="6" xfId="0" applyFont="1" applyFill="1" applyBorder="1"/>
    <xf numFmtId="0" fontId="1" fillId="3" borderId="28" xfId="0" applyFont="1" applyFill="1" applyBorder="1"/>
    <xf numFmtId="0" fontId="1" fillId="3" borderId="29" xfId="0" applyFont="1" applyFill="1" applyBorder="1"/>
    <xf numFmtId="0" fontId="0" fillId="3" borderId="29" xfId="0" applyFill="1" applyBorder="1"/>
    <xf numFmtId="0" fontId="0" fillId="3" borderId="30" xfId="0" applyFill="1" applyBorder="1"/>
    <xf numFmtId="0" fontId="9" fillId="0" borderId="0" xfId="0" applyFont="1"/>
    <xf numFmtId="0" fontId="1" fillId="0" borderId="0" xfId="0" applyFont="1" applyFill="1"/>
    <xf numFmtId="0" fontId="0" fillId="0" borderId="7" xfId="0" applyFill="1" applyBorder="1"/>
    <xf numFmtId="0" fontId="0" fillId="0" borderId="7" xfId="0" applyFont="1" applyFill="1" applyBorder="1"/>
    <xf numFmtId="0" fontId="0" fillId="0" borderId="34" xfId="0" applyBorder="1"/>
    <xf numFmtId="0" fontId="0" fillId="0" borderId="10" xfId="0" applyFill="1" applyBorder="1"/>
    <xf numFmtId="0" fontId="0" fillId="0" borderId="25" xfId="0" applyFill="1" applyBorder="1"/>
    <xf numFmtId="0" fontId="0" fillId="0" borderId="24" xfId="0" applyBorder="1"/>
    <xf numFmtId="0" fontId="0" fillId="0" borderId="40" xfId="0" applyBorder="1"/>
    <xf numFmtId="165" fontId="0" fillId="0" borderId="0" xfId="2" applyNumberFormat="1" applyFont="1" applyFill="1" applyBorder="1"/>
    <xf numFmtId="165" fontId="0" fillId="0" borderId="9" xfId="2" applyNumberFormat="1" applyFont="1" applyFill="1" applyBorder="1"/>
    <xf numFmtId="165" fontId="0" fillId="0" borderId="0" xfId="2" applyNumberFormat="1" applyFont="1" applyBorder="1"/>
    <xf numFmtId="165" fontId="1" fillId="0" borderId="26" xfId="2" applyNumberFormat="1" applyFont="1" applyFill="1" applyBorder="1"/>
    <xf numFmtId="0" fontId="1" fillId="0" borderId="1" xfId="0" applyFont="1" applyFill="1" applyBorder="1"/>
    <xf numFmtId="0" fontId="1" fillId="0" borderId="7" xfId="0" applyFont="1" applyFill="1" applyBorder="1"/>
    <xf numFmtId="164" fontId="1" fillId="0" borderId="0" xfId="0" applyNumberFormat="1" applyFont="1"/>
    <xf numFmtId="165" fontId="1" fillId="0" borderId="0" xfId="2" applyNumberFormat="1" applyFont="1" applyFill="1" applyBorder="1"/>
    <xf numFmtId="0" fontId="0" fillId="0" borderId="0" xfId="0" applyFill="1"/>
    <xf numFmtId="164" fontId="0" fillId="0" borderId="26" xfId="0" applyNumberFormat="1" applyFill="1" applyBorder="1"/>
    <xf numFmtId="164" fontId="0" fillId="0" borderId="0" xfId="0" applyNumberFormat="1" applyBorder="1"/>
    <xf numFmtId="0" fontId="0" fillId="0" borderId="24" xfId="0" applyBorder="1" applyAlignment="1">
      <alignment horizontal="center"/>
    </xf>
    <xf numFmtId="0" fontId="0" fillId="0" borderId="0" xfId="0" applyBorder="1" applyAlignment="1">
      <alignment horizontal="center"/>
    </xf>
    <xf numFmtId="165" fontId="0" fillId="0" borderId="24" xfId="2" applyNumberFormat="1" applyFont="1" applyBorder="1" applyAlignment="1">
      <alignment horizontal="center"/>
    </xf>
    <xf numFmtId="165" fontId="0" fillId="0" borderId="37" xfId="2" applyNumberFormat="1" applyFont="1" applyBorder="1" applyAlignment="1">
      <alignment horizontal="center"/>
    </xf>
    <xf numFmtId="165" fontId="0" fillId="0" borderId="0" xfId="2" applyNumberFormat="1" applyFont="1" applyFill="1" applyBorder="1" applyAlignment="1">
      <alignment horizontal="center"/>
    </xf>
    <xf numFmtId="165" fontId="0" fillId="0" borderId="7" xfId="2" applyNumberFormat="1" applyFont="1" applyFill="1" applyBorder="1" applyAlignment="1">
      <alignment horizontal="center"/>
    </xf>
    <xf numFmtId="165" fontId="0" fillId="0" borderId="0" xfId="2" applyNumberFormat="1" applyFont="1" applyBorder="1" applyAlignment="1">
      <alignment horizontal="center"/>
    </xf>
    <xf numFmtId="165" fontId="0" fillId="0" borderId="7" xfId="2" applyNumberFormat="1" applyFont="1" applyBorder="1" applyAlignment="1">
      <alignment horizontal="center"/>
    </xf>
    <xf numFmtId="165" fontId="0" fillId="0" borderId="9" xfId="2" applyNumberFormat="1" applyFont="1" applyFill="1" applyBorder="1" applyAlignment="1">
      <alignment horizontal="center"/>
    </xf>
    <xf numFmtId="165" fontId="0" fillId="0" borderId="9" xfId="2" applyNumberFormat="1" applyFont="1" applyBorder="1" applyAlignment="1">
      <alignment horizontal="center"/>
    </xf>
    <xf numFmtId="165" fontId="0" fillId="0" borderId="10" xfId="2" applyNumberFormat="1" applyFont="1" applyBorder="1" applyAlignment="1">
      <alignment horizontal="center"/>
    </xf>
    <xf numFmtId="10" fontId="0" fillId="0" borderId="24" xfId="0" applyNumberFormat="1" applyFill="1" applyBorder="1" applyAlignment="1">
      <alignment horizontal="center"/>
    </xf>
    <xf numFmtId="10" fontId="0" fillId="0" borderId="24" xfId="0" applyNumberFormat="1" applyBorder="1" applyAlignment="1">
      <alignment horizontal="center"/>
    </xf>
    <xf numFmtId="10" fontId="0" fillId="0" borderId="37" xfId="0" applyNumberFormat="1" applyBorder="1" applyAlignment="1">
      <alignment horizontal="center"/>
    </xf>
    <xf numFmtId="10" fontId="0" fillId="0" borderId="0" xfId="0" applyNumberFormat="1" applyBorder="1" applyAlignment="1">
      <alignment horizontal="center"/>
    </xf>
    <xf numFmtId="10" fontId="0" fillId="0" borderId="7" xfId="0" applyNumberForma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1" fontId="0" fillId="0" borderId="1" xfId="0" applyNumberFormat="1" applyBorder="1"/>
    <xf numFmtId="1" fontId="0" fillId="0" borderId="1" xfId="0" applyNumberFormat="1" applyFill="1" applyBorder="1"/>
    <xf numFmtId="1" fontId="0" fillId="0" borderId="26" xfId="0" applyNumberFormat="1" applyFill="1" applyBorder="1" applyAlignment="1">
      <alignment horizontal="center"/>
    </xf>
    <xf numFmtId="2" fontId="0" fillId="0" borderId="26" xfId="0" applyNumberFormat="1" applyFill="1" applyBorder="1" applyAlignment="1">
      <alignment horizontal="center"/>
    </xf>
    <xf numFmtId="0" fontId="0" fillId="0" borderId="26" xfId="1" applyNumberFormat="1" applyFont="1" applyFill="1" applyBorder="1" applyAlignment="1">
      <alignment horizontal="center"/>
    </xf>
    <xf numFmtId="164" fontId="0" fillId="0" borderId="26" xfId="0" applyNumberFormat="1" applyFill="1" applyBorder="1" applyAlignment="1">
      <alignment horizontal="center"/>
    </xf>
    <xf numFmtId="165" fontId="0" fillId="0" borderId="23" xfId="2" applyNumberFormat="1" applyFont="1" applyFill="1" applyBorder="1" applyAlignment="1">
      <alignment horizontal="center"/>
    </xf>
    <xf numFmtId="165" fontId="0" fillId="0" borderId="26" xfId="2" applyNumberFormat="1" applyFont="1" applyFill="1" applyBorder="1" applyAlignment="1">
      <alignment horizontal="center"/>
    </xf>
    <xf numFmtId="165" fontId="0" fillId="0" borderId="26" xfId="2" applyNumberFormat="1" applyFont="1" applyBorder="1" applyAlignment="1">
      <alignment horizontal="center"/>
    </xf>
    <xf numFmtId="165" fontId="0" fillId="0" borderId="35" xfId="2" applyNumberFormat="1" applyFont="1" applyFill="1" applyBorder="1" applyAlignment="1">
      <alignment horizontal="center"/>
    </xf>
    <xf numFmtId="2" fontId="0" fillId="0" borderId="0" xfId="0" applyNumberFormat="1" applyFill="1" applyBorder="1" applyAlignment="1">
      <alignment horizontal="center"/>
    </xf>
    <xf numFmtId="165" fontId="1" fillId="0" borderId="26" xfId="2" applyNumberFormat="1" applyFont="1" applyFill="1" applyBorder="1" applyAlignment="1">
      <alignment horizontal="center"/>
    </xf>
    <xf numFmtId="9" fontId="0" fillId="0" borderId="0" xfId="0" applyNumberFormat="1" applyFill="1" applyBorder="1" applyAlignment="1">
      <alignment horizontal="center"/>
    </xf>
    <xf numFmtId="2" fontId="0" fillId="0" borderId="9" xfId="0" applyNumberFormat="1" applyFill="1" applyBorder="1" applyAlignment="1">
      <alignment horizontal="center"/>
    </xf>
    <xf numFmtId="0" fontId="0" fillId="0" borderId="6" xfId="0" applyFont="1" applyFill="1" applyBorder="1" applyAlignment="1">
      <alignment horizontal="left"/>
    </xf>
    <xf numFmtId="0" fontId="12" fillId="0" borderId="6" xfId="0" applyFont="1" applyFill="1" applyBorder="1" applyAlignment="1">
      <alignment horizontal="left"/>
    </xf>
    <xf numFmtId="0" fontId="12" fillId="0" borderId="6" xfId="0" applyFont="1" applyBorder="1" applyAlignment="1">
      <alignment horizontal="left" indent="1"/>
    </xf>
    <xf numFmtId="165" fontId="0" fillId="0" borderId="2" xfId="2" applyNumberFormat="1" applyFont="1" applyFill="1" applyBorder="1" applyAlignment="1">
      <alignment horizontal="center"/>
    </xf>
    <xf numFmtId="165" fontId="0" fillId="0" borderId="13" xfId="2" applyNumberFormat="1" applyFont="1" applyFill="1" applyBorder="1" applyAlignment="1">
      <alignment horizontal="center"/>
    </xf>
    <xf numFmtId="0" fontId="0" fillId="2" borderId="6" xfId="0" applyFill="1" applyBorder="1"/>
    <xf numFmtId="0" fontId="0" fillId="2" borderId="0" xfId="0" applyFill="1" applyBorder="1"/>
    <xf numFmtId="9" fontId="0" fillId="0" borderId="0" xfId="0" applyNumberFormat="1"/>
    <xf numFmtId="9" fontId="0" fillId="0" borderId="0" xfId="1" applyNumberFormat="1" applyFont="1" applyFill="1" applyBorder="1"/>
    <xf numFmtId="9" fontId="0" fillId="0" borderId="0" xfId="1" applyNumberFormat="1" applyFont="1"/>
    <xf numFmtId="0" fontId="2" fillId="0" borderId="6" xfId="0" applyFont="1" applyFill="1" applyBorder="1"/>
    <xf numFmtId="165" fontId="0" fillId="0" borderId="1" xfId="2" applyNumberFormat="1" applyFont="1" applyFill="1" applyBorder="1"/>
    <xf numFmtId="165" fontId="0" fillId="0" borderId="7" xfId="2" applyNumberFormat="1" applyFont="1" applyBorder="1"/>
    <xf numFmtId="0" fontId="2" fillId="0" borderId="36" xfId="0" applyFont="1" applyFill="1" applyBorder="1"/>
    <xf numFmtId="0" fontId="0" fillId="0" borderId="24" xfId="0" applyFill="1" applyBorder="1"/>
    <xf numFmtId="165" fontId="0" fillId="0" borderId="25" xfId="2" applyNumberFormat="1" applyFont="1" applyBorder="1"/>
    <xf numFmtId="165" fontId="0" fillId="0" borderId="24" xfId="2" applyNumberFormat="1" applyFont="1" applyBorder="1"/>
    <xf numFmtId="0" fontId="0" fillId="0" borderId="19" xfId="0" applyBorder="1"/>
    <xf numFmtId="0" fontId="0" fillId="0" borderId="38" xfId="0" applyBorder="1"/>
    <xf numFmtId="165" fontId="0" fillId="0" borderId="13" xfId="2" applyNumberFormat="1" applyFont="1" applyBorder="1"/>
    <xf numFmtId="0" fontId="1" fillId="5" borderId="3" xfId="0" applyFont="1" applyFill="1" applyBorder="1"/>
    <xf numFmtId="0" fontId="0" fillId="5" borderId="4" xfId="0" applyFill="1" applyBorder="1"/>
    <xf numFmtId="0" fontId="1" fillId="5" borderId="42" xfId="0" applyFont="1" applyFill="1" applyBorder="1"/>
    <xf numFmtId="0" fontId="0" fillId="5" borderId="40" xfId="0" applyFill="1" applyBorder="1"/>
    <xf numFmtId="0" fontId="0" fillId="5" borderId="39" xfId="0" applyFill="1" applyBorder="1"/>
    <xf numFmtId="0" fontId="1" fillId="5" borderId="34" xfId="0" applyFont="1" applyFill="1" applyBorder="1"/>
    <xf numFmtId="0" fontId="0" fillId="5" borderId="2" xfId="0" applyFill="1" applyBorder="1"/>
    <xf numFmtId="0" fontId="0" fillId="5" borderId="15" xfId="0" applyFill="1" applyBorder="1"/>
    <xf numFmtId="0" fontId="0" fillId="5" borderId="2" xfId="0" applyFill="1" applyBorder="1" applyAlignment="1">
      <alignment horizontal="right"/>
    </xf>
    <xf numFmtId="0" fontId="1" fillId="5" borderId="28" xfId="0" applyFont="1" applyFill="1" applyBorder="1"/>
    <xf numFmtId="0" fontId="1" fillId="5" borderId="29" xfId="0" applyFont="1" applyFill="1" applyBorder="1"/>
    <xf numFmtId="0" fontId="0" fillId="5" borderId="29" xfId="0" applyFill="1" applyBorder="1"/>
    <xf numFmtId="0" fontId="0" fillId="5" borderId="30" xfId="0" applyFill="1" applyBorder="1"/>
    <xf numFmtId="0" fontId="1" fillId="5" borderId="11" xfId="0" applyFont="1" applyFill="1" applyBorder="1" applyAlignment="1">
      <alignment horizontal="left"/>
    </xf>
    <xf numFmtId="0" fontId="1" fillId="5" borderId="41" xfId="0" applyFont="1" applyFill="1" applyBorder="1" applyAlignment="1">
      <alignment horizontal="left"/>
    </xf>
    <xf numFmtId="0" fontId="1" fillId="5" borderId="5" xfId="0" applyFont="1" applyFill="1" applyBorder="1" applyAlignment="1">
      <alignment horizontal="left"/>
    </xf>
    <xf numFmtId="0" fontId="1" fillId="3" borderId="16" xfId="0" applyFont="1" applyFill="1" applyBorder="1"/>
    <xf numFmtId="0" fontId="0" fillId="3" borderId="17" xfId="0" applyFill="1" applyBorder="1" applyAlignment="1">
      <alignment horizontal="right"/>
    </xf>
    <xf numFmtId="0" fontId="0" fillId="3" borderId="18" xfId="0" applyFill="1" applyBorder="1" applyAlignment="1">
      <alignment horizontal="center"/>
    </xf>
    <xf numFmtId="0" fontId="0" fillId="3" borderId="33" xfId="0" applyFill="1" applyBorder="1" applyAlignment="1">
      <alignment horizontal="center"/>
    </xf>
    <xf numFmtId="0" fontId="15" fillId="4" borderId="0" xfId="0" applyFont="1" applyFill="1"/>
    <xf numFmtId="0" fontId="16" fillId="4" borderId="0" xfId="0" applyFont="1" applyFill="1"/>
    <xf numFmtId="0" fontId="17" fillId="4" borderId="0" xfId="0" applyFont="1" applyFill="1"/>
    <xf numFmtId="0" fontId="0" fillId="4" borderId="0" xfId="0" applyFill="1"/>
    <xf numFmtId="0" fontId="18" fillId="6" borderId="0" xfId="0" applyFont="1" applyFill="1" applyBorder="1"/>
    <xf numFmtId="0" fontId="1" fillId="6" borderId="0" xfId="0" applyFont="1" applyFill="1" applyBorder="1"/>
    <xf numFmtId="0" fontId="0" fillId="6" borderId="0" xfId="0" applyFill="1" applyBorder="1"/>
    <xf numFmtId="0" fontId="0" fillId="6" borderId="0" xfId="0" applyFill="1"/>
    <xf numFmtId="0" fontId="1" fillId="3" borderId="32" xfId="0" applyFont="1" applyFill="1" applyBorder="1"/>
    <xf numFmtId="0" fontId="0" fillId="3" borderId="16" xfId="0" applyFill="1" applyBorder="1"/>
    <xf numFmtId="0" fontId="0" fillId="3" borderId="17" xfId="0" applyFill="1" applyBorder="1" applyAlignment="1">
      <alignment horizontal="center"/>
    </xf>
    <xf numFmtId="0" fontId="1" fillId="5" borderId="32" xfId="0" applyFont="1" applyFill="1" applyBorder="1"/>
    <xf numFmtId="0" fontId="0" fillId="5" borderId="16" xfId="0" applyFill="1" applyBorder="1"/>
    <xf numFmtId="0" fontId="0" fillId="5" borderId="18" xfId="0" applyFill="1" applyBorder="1" applyAlignment="1">
      <alignment horizontal="center"/>
    </xf>
    <xf numFmtId="0" fontId="0" fillId="5" borderId="16" xfId="0" applyFill="1" applyBorder="1" applyAlignment="1">
      <alignment horizontal="center"/>
    </xf>
    <xf numFmtId="0" fontId="0" fillId="5" borderId="33" xfId="0" applyFill="1" applyBorder="1" applyAlignment="1">
      <alignment horizontal="center"/>
    </xf>
    <xf numFmtId="165" fontId="0" fillId="0" borderId="0" xfId="0" applyNumberFormat="1"/>
    <xf numFmtId="165" fontId="0" fillId="0" borderId="0" xfId="2" applyNumberFormat="1" applyFont="1"/>
    <xf numFmtId="0" fontId="0" fillId="5" borderId="15" xfId="0" applyFill="1" applyBorder="1" applyAlignment="1">
      <alignment horizontal="center"/>
    </xf>
    <xf numFmtId="0" fontId="0" fillId="5" borderId="14" xfId="0" applyFill="1" applyBorder="1" applyAlignment="1">
      <alignment horizontal="center"/>
    </xf>
    <xf numFmtId="0" fontId="0" fillId="5" borderId="22" xfId="0" applyFill="1" applyBorder="1" applyAlignment="1">
      <alignment horizontal="center"/>
    </xf>
    <xf numFmtId="1" fontId="21" fillId="0" borderId="28" xfId="0" applyNumberFormat="1" applyFont="1" applyBorder="1"/>
    <xf numFmtId="0" fontId="0" fillId="0" borderId="29" xfId="0" applyBorder="1"/>
    <xf numFmtId="0" fontId="0" fillId="0" borderId="30" xfId="0" applyBorder="1"/>
    <xf numFmtId="1" fontId="21" fillId="0" borderId="6" xfId="0" applyNumberFormat="1" applyFont="1" applyBorder="1"/>
    <xf numFmtId="1" fontId="22" fillId="0" borderId="8" xfId="0" applyNumberFormat="1" applyFont="1" applyBorder="1"/>
    <xf numFmtId="166" fontId="0" fillId="0" borderId="30" xfId="0" applyNumberFormat="1" applyBorder="1"/>
    <xf numFmtId="166" fontId="0" fillId="0" borderId="7" xfId="3" applyNumberFormat="1" applyFont="1" applyBorder="1"/>
    <xf numFmtId="1" fontId="21" fillId="0" borderId="8" xfId="0" applyNumberFormat="1" applyFont="1" applyBorder="1"/>
    <xf numFmtId="9" fontId="0" fillId="0" borderId="10" xfId="0" applyNumberFormat="1" applyBorder="1"/>
    <xf numFmtId="1" fontId="23" fillId="0" borderId="28" xfId="0" applyNumberFormat="1" applyFont="1" applyBorder="1"/>
    <xf numFmtId="1" fontId="0" fillId="0" borderId="28" xfId="0" applyNumberFormat="1" applyBorder="1"/>
    <xf numFmtId="1" fontId="0" fillId="0" borderId="6" xfId="0" applyNumberFormat="1" applyBorder="1"/>
    <xf numFmtId="165" fontId="5" fillId="0" borderId="0" xfId="0" applyNumberFormat="1" applyFont="1" applyBorder="1" applyAlignment="1"/>
    <xf numFmtId="0" fontId="0" fillId="0" borderId="0" xfId="0" applyBorder="1" applyAlignment="1"/>
    <xf numFmtId="165" fontId="0" fillId="0" borderId="0" xfId="2" applyNumberFormat="1" applyFont="1" applyBorder="1" applyAlignment="1"/>
    <xf numFmtId="165" fontId="5" fillId="0" borderId="0" xfId="2" applyNumberFormat="1" applyFont="1" applyBorder="1" applyAlignment="1"/>
    <xf numFmtId="9" fontId="0" fillId="0" borderId="0" xfId="1" applyFont="1" applyBorder="1" applyAlignment="1"/>
    <xf numFmtId="0" fontId="0" fillId="0" borderId="0" xfId="0" applyFill="1" applyBorder="1" applyAlignment="1">
      <alignment horizontal="center"/>
    </xf>
    <xf numFmtId="1" fontId="0" fillId="0" borderId="0" xfId="0" applyNumberFormat="1" applyFill="1" applyBorder="1" applyAlignment="1">
      <alignment horizontal="center"/>
    </xf>
    <xf numFmtId="1" fontId="5"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0" fontId="0" fillId="0" borderId="0" xfId="1" applyNumberFormat="1" applyFont="1" applyFill="1" applyBorder="1" applyAlignment="1">
      <alignment horizontal="center"/>
    </xf>
    <xf numFmtId="0" fontId="1" fillId="0" borderId="0" xfId="0" applyFont="1" applyAlignment="1">
      <alignment horizontal="center"/>
    </xf>
    <xf numFmtId="165" fontId="0" fillId="0" borderId="0" xfId="2" applyNumberFormat="1" applyFont="1" applyAlignment="1">
      <alignment horizontal="center"/>
    </xf>
    <xf numFmtId="165" fontId="3" fillId="0" borderId="0" xfId="2" applyNumberFormat="1" applyFont="1" applyAlignment="1">
      <alignment horizontal="center"/>
    </xf>
    <xf numFmtId="165" fontId="0" fillId="0" borderId="9" xfId="0" applyNumberFormat="1" applyBorder="1" applyAlignment="1">
      <alignment horizontal="center"/>
    </xf>
    <xf numFmtId="165" fontId="0" fillId="0" borderId="35" xfId="0" applyNumberFormat="1" applyBorder="1" applyAlignment="1">
      <alignment horizontal="center"/>
    </xf>
    <xf numFmtId="1" fontId="0" fillId="0" borderId="7" xfId="0" applyNumberFormat="1" applyFill="1" applyBorder="1"/>
    <xf numFmtId="43" fontId="0" fillId="0" borderId="26" xfId="2" applyNumberFormat="1" applyFont="1" applyBorder="1" applyAlignment="1">
      <alignment horizontal="center"/>
    </xf>
    <xf numFmtId="43" fontId="0" fillId="0" borderId="0" xfId="2" applyNumberFormat="1" applyFont="1" applyFill="1" applyBorder="1"/>
    <xf numFmtId="43" fontId="0" fillId="0" borderId="21" xfId="0" applyNumberFormat="1" applyBorder="1"/>
    <xf numFmtId="0" fontId="1" fillId="0" borderId="0" xfId="0" applyFont="1" applyFill="1" applyAlignment="1">
      <alignment horizontal="center"/>
    </xf>
    <xf numFmtId="165" fontId="10" fillId="0" borderId="0" xfId="2" applyNumberFormat="1" applyFont="1" applyFill="1" applyAlignment="1">
      <alignment horizontal="center"/>
    </xf>
    <xf numFmtId="165" fontId="5" fillId="0" borderId="0" xfId="2" applyNumberFormat="1" applyFont="1" applyFill="1"/>
    <xf numFmtId="165" fontId="0" fillId="0" borderId="0" xfId="2" applyNumberFormat="1" applyFont="1" applyFill="1"/>
    <xf numFmtId="165" fontId="5" fillId="0" borderId="0" xfId="2" applyNumberFormat="1" applyFont="1" applyFill="1" applyAlignment="1">
      <alignment horizontal="center"/>
    </xf>
    <xf numFmtId="165" fontId="0" fillId="0" borderId="0" xfId="2" applyNumberFormat="1" applyFont="1" applyFill="1" applyAlignment="1">
      <alignment horizontal="center"/>
    </xf>
    <xf numFmtId="165" fontId="5" fillId="0" borderId="0" xfId="2" applyNumberFormat="1" applyFont="1" applyAlignment="1">
      <alignment horizontal="center"/>
    </xf>
    <xf numFmtId="9" fontId="1" fillId="0" borderId="0" xfId="1" applyFont="1" applyFill="1"/>
    <xf numFmtId="164" fontId="1" fillId="0" borderId="0" xfId="1" applyNumberFormat="1" applyFont="1" applyFill="1"/>
    <xf numFmtId="0" fontId="1" fillId="0" borderId="0" xfId="1" applyNumberFormat="1" applyFont="1" applyFill="1"/>
    <xf numFmtId="165" fontId="26" fillId="0" borderId="0" xfId="2" applyNumberFormat="1" applyFont="1" applyFill="1"/>
    <xf numFmtId="0" fontId="0" fillId="0" borderId="0" xfId="0" applyNumberFormat="1" applyFill="1"/>
    <xf numFmtId="0" fontId="23" fillId="0" borderId="0" xfId="0" applyFont="1" applyBorder="1" applyAlignment="1">
      <alignment horizontal="center"/>
    </xf>
    <xf numFmtId="9" fontId="0" fillId="0" borderId="0" xfId="1" applyFont="1"/>
    <xf numFmtId="9" fontId="5" fillId="0" borderId="0" xfId="1" applyFont="1" applyBorder="1" applyAlignment="1"/>
    <xf numFmtId="9" fontId="0" fillId="0" borderId="0" xfId="1" applyFont="1" applyBorder="1"/>
    <xf numFmtId="165" fontId="3" fillId="0" borderId="0" xfId="2" applyNumberFormat="1" applyFont="1" applyFill="1"/>
    <xf numFmtId="0" fontId="0" fillId="3" borderId="16" xfId="0" applyFill="1" applyBorder="1" applyAlignment="1">
      <alignment horizontal="right"/>
    </xf>
    <xf numFmtId="0" fontId="0" fillId="5" borderId="17" xfId="0" applyFill="1" applyBorder="1" applyAlignment="1">
      <alignment horizontal="right"/>
    </xf>
    <xf numFmtId="9" fontId="0" fillId="0" borderId="0" xfId="1" applyFont="1" applyFill="1" applyBorder="1" applyAlignment="1">
      <alignment horizontal="center"/>
    </xf>
    <xf numFmtId="10" fontId="0" fillId="0" borderId="0" xfId="1" applyNumberFormat="1" applyFont="1"/>
    <xf numFmtId="165" fontId="0" fillId="0" borderId="0" xfId="2" applyNumberFormat="1" applyFont="1" applyFill="1" applyBorder="1" applyAlignment="1"/>
    <xf numFmtId="165" fontId="0" fillId="0" borderId="23" xfId="2" applyNumberFormat="1" applyFont="1" applyFill="1" applyBorder="1" applyAlignment="1">
      <alignment horizontal="left"/>
    </xf>
    <xf numFmtId="165" fontId="0" fillId="0" borderId="26" xfId="2" applyNumberFormat="1" applyFont="1" applyFill="1" applyBorder="1" applyAlignment="1">
      <alignment horizontal="left"/>
    </xf>
    <xf numFmtId="165" fontId="0" fillId="0" borderId="31" xfId="2" applyNumberFormat="1" applyFont="1" applyFill="1" applyBorder="1" applyAlignment="1">
      <alignment horizontal="center"/>
    </xf>
    <xf numFmtId="165" fontId="1" fillId="0" borderId="0" xfId="2" applyNumberFormat="1" applyFont="1"/>
    <xf numFmtId="165" fontId="1" fillId="0" borderId="0" xfId="2" applyNumberFormat="1" applyFont="1" applyFill="1"/>
    <xf numFmtId="165" fontId="3" fillId="0" borderId="0" xfId="2" applyNumberFormat="1" applyFont="1" applyFill="1" applyAlignment="1">
      <alignment horizontal="center"/>
    </xf>
    <xf numFmtId="0" fontId="0" fillId="0" borderId="0" xfId="0" applyFont="1" applyFill="1" applyAlignment="1">
      <alignment horizontal="center"/>
    </xf>
    <xf numFmtId="0" fontId="0" fillId="0" borderId="0" xfId="0" applyFont="1" applyFill="1"/>
    <xf numFmtId="164" fontId="4" fillId="0" borderId="0" xfId="1" applyNumberFormat="1" applyFont="1" applyFill="1"/>
    <xf numFmtId="9" fontId="4" fillId="0" borderId="0" xfId="1" applyNumberFormat="1" applyFont="1" applyFill="1"/>
    <xf numFmtId="165" fontId="10" fillId="0" borderId="0" xfId="2" applyNumberFormat="1" applyFont="1" applyFill="1"/>
    <xf numFmtId="164" fontId="4" fillId="0" borderId="0" xfId="1" applyNumberFormat="1" applyFont="1"/>
    <xf numFmtId="9" fontId="4" fillId="0" borderId="0" xfId="1" applyFont="1" applyFill="1"/>
    <xf numFmtId="0" fontId="4" fillId="0" borderId="0" xfId="1" applyNumberFormat="1" applyFont="1" applyFill="1"/>
    <xf numFmtId="10" fontId="4" fillId="0" borderId="0" xfId="1" applyNumberFormat="1" applyFont="1" applyAlignment="1">
      <alignment horizontal="center"/>
    </xf>
    <xf numFmtId="10" fontId="1" fillId="0" borderId="0" xfId="1" applyNumberFormat="1" applyFont="1" applyAlignment="1">
      <alignment horizontal="center"/>
    </xf>
    <xf numFmtId="164" fontId="1" fillId="0" borderId="0" xfId="1" applyNumberFormat="1" applyFont="1"/>
    <xf numFmtId="165" fontId="3" fillId="0" borderId="0" xfId="2" applyNumberFormat="1" applyFont="1" applyFill="1" applyBorder="1" applyAlignment="1">
      <alignment horizontal="center"/>
    </xf>
    <xf numFmtId="165" fontId="27" fillId="0" borderId="0" xfId="0" applyNumberFormat="1" applyFont="1" applyFill="1" applyAlignment="1">
      <alignment horizontal="center"/>
    </xf>
    <xf numFmtId="0" fontId="10" fillId="0" borderId="0" xfId="0" applyFont="1" applyFill="1" applyAlignment="1">
      <alignment horizontal="center"/>
    </xf>
    <xf numFmtId="0" fontId="0" fillId="0" borderId="6" xfId="0" applyBorder="1" applyAlignment="1"/>
    <xf numFmtId="165" fontId="0" fillId="0" borderId="0" xfId="2" applyNumberFormat="1" applyFont="1" applyFill="1" applyBorder="1" applyAlignment="1">
      <alignment horizontal="right"/>
    </xf>
    <xf numFmtId="0" fontId="1" fillId="5" borderId="27" xfId="0" applyFont="1" applyFill="1" applyBorder="1" applyAlignment="1">
      <alignment horizontal="left"/>
    </xf>
    <xf numFmtId="0" fontId="1" fillId="5" borderId="16" xfId="0" applyFont="1" applyFill="1" applyBorder="1" applyAlignment="1">
      <alignment horizontal="left"/>
    </xf>
    <xf numFmtId="0" fontId="1" fillId="5" borderId="31" xfId="0" applyFont="1" applyFill="1" applyBorder="1" applyAlignment="1">
      <alignment horizontal="left"/>
    </xf>
    <xf numFmtId="2" fontId="0" fillId="0" borderId="40" xfId="0" applyNumberFormat="1" applyFill="1" applyBorder="1" applyAlignment="1">
      <alignment horizontal="center"/>
    </xf>
    <xf numFmtId="2" fontId="0" fillId="0" borderId="40" xfId="0" applyNumberFormat="1" applyFill="1" applyBorder="1"/>
    <xf numFmtId="0" fontId="1" fillId="5" borderId="17" xfId="0" applyFont="1" applyFill="1" applyBorder="1" applyAlignment="1">
      <alignment horizontal="left"/>
    </xf>
    <xf numFmtId="0" fontId="0" fillId="0" borderId="40" xfId="0" applyFill="1" applyBorder="1"/>
    <xf numFmtId="0" fontId="0" fillId="0" borderId="40" xfId="0" applyFill="1" applyBorder="1" applyAlignment="1">
      <alignment horizontal="center"/>
    </xf>
    <xf numFmtId="0" fontId="1" fillId="5" borderId="6" xfId="0" applyFont="1" applyFill="1" applyBorder="1"/>
    <xf numFmtId="0" fontId="0" fillId="5" borderId="0" xfId="0" applyFill="1" applyBorder="1"/>
    <xf numFmtId="0" fontId="1" fillId="5" borderId="26" xfId="0" applyFont="1" applyFill="1" applyBorder="1" applyAlignment="1">
      <alignment horizontal="left"/>
    </xf>
    <xf numFmtId="0" fontId="1" fillId="5" borderId="1" xfId="0" applyFont="1" applyFill="1" applyBorder="1" applyAlignment="1">
      <alignment horizontal="left"/>
    </xf>
    <xf numFmtId="0" fontId="1" fillId="5" borderId="7" xfId="0" applyFont="1" applyFill="1" applyBorder="1" applyAlignment="1">
      <alignment horizontal="left"/>
    </xf>
    <xf numFmtId="0" fontId="1" fillId="5" borderId="0" xfId="0" applyFont="1" applyFill="1" applyBorder="1"/>
    <xf numFmtId="0" fontId="0" fillId="0" borderId="6" xfId="0" applyFill="1" applyBorder="1" applyAlignment="1">
      <alignment horizontal="center"/>
    </xf>
    <xf numFmtId="10" fontId="0" fillId="0" borderId="0" xfId="0" applyNumberFormat="1" applyFill="1" applyBorder="1" applyAlignment="1">
      <alignment horizontal="center"/>
    </xf>
    <xf numFmtId="0" fontId="0" fillId="0" borderId="0" xfId="0" applyAlignment="1">
      <alignment horizontal="center"/>
    </xf>
    <xf numFmtId="167" fontId="0" fillId="0" borderId="26" xfId="0" applyNumberFormat="1" applyFill="1" applyBorder="1" applyAlignment="1">
      <alignment horizontal="center"/>
    </xf>
    <xf numFmtId="9" fontId="0" fillId="0" borderId="26" xfId="0" applyNumberFormat="1" applyFill="1" applyBorder="1" applyAlignment="1">
      <alignment horizontal="center"/>
    </xf>
    <xf numFmtId="9" fontId="2" fillId="0" borderId="26" xfId="0" applyNumberFormat="1" applyFont="1" applyFill="1" applyBorder="1" applyAlignment="1">
      <alignment horizontal="center"/>
    </xf>
    <xf numFmtId="9" fontId="2" fillId="0" borderId="1" xfId="0" applyNumberFormat="1" applyFont="1" applyBorder="1" applyAlignment="1">
      <alignment horizontal="center"/>
    </xf>
    <xf numFmtId="9" fontId="0" fillId="0" borderId="0" xfId="0" applyNumberFormat="1" applyBorder="1" applyAlignment="1">
      <alignment horizontal="center"/>
    </xf>
    <xf numFmtId="1" fontId="0" fillId="6" borderId="0" xfId="0" applyNumberFormat="1" applyFill="1" applyBorder="1"/>
    <xf numFmtId="167" fontId="0" fillId="0" borderId="0" xfId="0" applyNumberFormat="1" applyFill="1" applyBorder="1" applyAlignment="1">
      <alignment horizontal="center"/>
    </xf>
    <xf numFmtId="0" fontId="0" fillId="0" borderId="6" xfId="0" applyBorder="1" applyAlignment="1">
      <alignment wrapText="1"/>
    </xf>
    <xf numFmtId="165" fontId="0" fillId="0" borderId="0" xfId="0" applyNumberFormat="1" applyBorder="1"/>
    <xf numFmtId="165" fontId="0" fillId="0" borderId="7" xfId="0" applyNumberFormat="1" applyBorder="1"/>
    <xf numFmtId="9" fontId="1" fillId="2" borderId="9" xfId="0" applyNumberFormat="1" applyFont="1" applyFill="1" applyBorder="1"/>
    <xf numFmtId="0" fontId="0" fillId="2" borderId="9" xfId="0" applyFill="1" applyBorder="1"/>
    <xf numFmtId="168" fontId="0" fillId="2" borderId="0" xfId="2" applyNumberFormat="1" applyFont="1" applyFill="1" applyBorder="1"/>
    <xf numFmtId="169" fontId="0" fillId="2" borderId="0" xfId="2" applyNumberFormat="1" applyFont="1" applyFill="1" applyBorder="1"/>
    <xf numFmtId="168" fontId="1" fillId="2" borderId="0" xfId="2" applyNumberFormat="1" applyFont="1" applyFill="1" applyBorder="1"/>
    <xf numFmtId="0" fontId="0" fillId="0" borderId="34" xfId="0" applyFill="1" applyBorder="1"/>
    <xf numFmtId="0" fontId="2" fillId="0" borderId="2" xfId="0" applyFont="1" applyBorder="1"/>
    <xf numFmtId="165" fontId="0" fillId="0" borderId="2" xfId="0" applyNumberFormat="1" applyBorder="1"/>
    <xf numFmtId="165" fontId="0" fillId="0" borderId="2" xfId="2" applyNumberFormat="1" applyFont="1" applyBorder="1"/>
    <xf numFmtId="165" fontId="0" fillId="0" borderId="0" xfId="0" applyNumberFormat="1" applyBorder="1" applyAlignment="1">
      <alignment horizontal="center"/>
    </xf>
    <xf numFmtId="165" fontId="1" fillId="0" borderId="26" xfId="2" applyNumberFormat="1" applyFont="1" applyFill="1" applyBorder="1" applyAlignment="1">
      <alignment horizontal="left"/>
    </xf>
    <xf numFmtId="165" fontId="0" fillId="0" borderId="1" xfId="0" applyNumberFormat="1" applyFill="1" applyBorder="1"/>
    <xf numFmtId="0" fontId="1" fillId="0" borderId="28" xfId="0" quotePrefix="1" applyFont="1" applyBorder="1" applyAlignment="1">
      <alignment horizontal="center" vertical="center" wrapText="1"/>
    </xf>
    <xf numFmtId="0" fontId="1" fillId="0" borderId="29" xfId="0" quotePrefix="1" applyFont="1" applyBorder="1" applyAlignment="1">
      <alignment horizontal="center" vertical="center" wrapText="1"/>
    </xf>
    <xf numFmtId="0" fontId="1" fillId="0" borderId="43" xfId="0" quotePrefix="1" applyFont="1" applyBorder="1" applyAlignment="1">
      <alignment horizontal="center" vertical="center" wrapText="1"/>
    </xf>
    <xf numFmtId="0" fontId="1" fillId="0" borderId="44" xfId="0" quotePrefix="1" applyFont="1" applyBorder="1"/>
    <xf numFmtId="0" fontId="1" fillId="0" borderId="45" xfId="0" quotePrefix="1" applyFont="1" applyBorder="1"/>
    <xf numFmtId="0" fontId="0" fillId="0" borderId="6" xfId="0" quotePrefix="1" applyFont="1" applyBorder="1" applyAlignment="1">
      <alignment horizontal="center"/>
    </xf>
    <xf numFmtId="170" fontId="0" fillId="0" borderId="0" xfId="0" quotePrefix="1" applyNumberFormat="1" applyFont="1" applyBorder="1"/>
    <xf numFmtId="10" fontId="0" fillId="0" borderId="1" xfId="1" quotePrefix="1" applyNumberFormat="1" applyFont="1" applyBorder="1"/>
    <xf numFmtId="0" fontId="1" fillId="0" borderId="46" xfId="0" quotePrefix="1" applyFont="1" applyBorder="1"/>
    <xf numFmtId="0" fontId="1" fillId="0" borderId="47" xfId="0" quotePrefix="1" applyFont="1" applyBorder="1"/>
    <xf numFmtId="2" fontId="0" fillId="0" borderId="48" xfId="0" quotePrefix="1" applyNumberFormat="1" applyFont="1" applyBorder="1"/>
    <xf numFmtId="10" fontId="0" fillId="0" borderId="48" xfId="1" quotePrefix="1" applyNumberFormat="1" applyFont="1" applyBorder="1"/>
    <xf numFmtId="0" fontId="0" fillId="0" borderId="6" xfId="0" quotePrefix="1" applyFont="1" applyFill="1" applyBorder="1" applyAlignment="1">
      <alignment horizontal="center"/>
    </xf>
    <xf numFmtId="170" fontId="0" fillId="0" borderId="0" xfId="0" quotePrefix="1" applyNumberFormat="1" applyFont="1" applyFill="1" applyBorder="1"/>
    <xf numFmtId="10" fontId="0" fillId="0" borderId="1" xfId="1" quotePrefix="1" applyNumberFormat="1" applyFont="1" applyFill="1" applyBorder="1"/>
    <xf numFmtId="0" fontId="0" fillId="0" borderId="8" xfId="0" quotePrefix="1" applyFont="1" applyFill="1" applyBorder="1" applyAlignment="1">
      <alignment horizontal="center"/>
    </xf>
    <xf numFmtId="170" fontId="0" fillId="0" borderId="9" xfId="0" quotePrefix="1" applyNumberFormat="1" applyFont="1" applyFill="1" applyBorder="1"/>
    <xf numFmtId="10" fontId="0" fillId="0" borderId="10" xfId="1" quotePrefix="1" applyNumberFormat="1" applyFont="1" applyFill="1" applyBorder="1"/>
    <xf numFmtId="2" fontId="0" fillId="0" borderId="46" xfId="0" quotePrefix="1" applyNumberFormat="1" applyFont="1" applyBorder="1"/>
    <xf numFmtId="10" fontId="0" fillId="0" borderId="46" xfId="1" quotePrefix="1" applyNumberFormat="1" applyFont="1" applyBorder="1"/>
    <xf numFmtId="0" fontId="0" fillId="2" borderId="27" xfId="0" applyFill="1" applyBorder="1" applyAlignment="1">
      <alignment horizontal="center"/>
    </xf>
    <xf numFmtId="10" fontId="0" fillId="2" borderId="17" xfId="0" applyNumberFormat="1" applyFill="1" applyBorder="1"/>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top"/>
    </xf>
    <xf numFmtId="168" fontId="0" fillId="0" borderId="0" xfId="0" applyNumberFormat="1" applyBorder="1"/>
    <xf numFmtId="0" fontId="2" fillId="2" borderId="0" xfId="0" applyFont="1" applyFill="1" applyBorder="1"/>
    <xf numFmtId="165" fontId="0" fillId="2" borderId="0" xfId="2" applyNumberFormat="1" applyFont="1" applyFill="1" applyBorder="1"/>
    <xf numFmtId="168" fontId="0" fillId="2" borderId="0" xfId="0" applyNumberFormat="1" applyFill="1" applyBorder="1"/>
    <xf numFmtId="0" fontId="1" fillId="2" borderId="0" xfId="0" applyFont="1" applyFill="1"/>
    <xf numFmtId="0" fontId="0" fillId="2" borderId="0" xfId="0" applyFill="1"/>
    <xf numFmtId="165" fontId="27" fillId="2" borderId="0" xfId="0" applyNumberFormat="1" applyFont="1" applyFill="1" applyAlignment="1">
      <alignment horizontal="center"/>
    </xf>
    <xf numFmtId="0" fontId="0" fillId="2" borderId="0" xfId="0" applyFont="1" applyFill="1"/>
    <xf numFmtId="165" fontId="3" fillId="2" borderId="0" xfId="2" applyNumberFormat="1" applyFont="1" applyFill="1"/>
    <xf numFmtId="165" fontId="5" fillId="2" borderId="0" xfId="2" applyNumberFormat="1" applyFont="1" applyFill="1"/>
    <xf numFmtId="165" fontId="4" fillId="2" borderId="0" xfId="2" applyNumberFormat="1" applyFont="1" applyFill="1"/>
    <xf numFmtId="165" fontId="0" fillId="2" borderId="0" xfId="2" applyNumberFormat="1" applyFont="1" applyFill="1"/>
    <xf numFmtId="165" fontId="1" fillId="2" borderId="0" xfId="2" applyNumberFormat="1" applyFont="1" applyFill="1"/>
    <xf numFmtId="0" fontId="1" fillId="2" borderId="0" xfId="0" applyFont="1" applyFill="1" applyAlignment="1">
      <alignment horizontal="center"/>
    </xf>
    <xf numFmtId="165" fontId="5" fillId="2" borderId="0" xfId="2" applyNumberFormat="1" applyFont="1" applyFill="1" applyAlignment="1">
      <alignment horizontal="center"/>
    </xf>
    <xf numFmtId="165" fontId="3" fillId="2" borderId="0" xfId="2" applyNumberFormat="1" applyFont="1" applyFill="1" applyAlignment="1">
      <alignment horizontal="center"/>
    </xf>
    <xf numFmtId="165" fontId="10" fillId="2" borderId="0" xfId="2" applyNumberFormat="1" applyFont="1" applyFill="1" applyAlignment="1">
      <alignment horizontal="center"/>
    </xf>
    <xf numFmtId="164" fontId="4" fillId="2" borderId="0" xfId="1" applyNumberFormat="1" applyFont="1" applyFill="1"/>
    <xf numFmtId="164" fontId="1" fillId="2" borderId="0" xfId="1" applyNumberFormat="1" applyFont="1" applyFill="1"/>
    <xf numFmtId="165" fontId="0" fillId="2" borderId="0" xfId="2" applyNumberFormat="1" applyFont="1" applyFill="1" applyAlignment="1">
      <alignment horizontal="center"/>
    </xf>
    <xf numFmtId="9" fontId="5" fillId="0" borderId="0" xfId="1" applyFont="1" applyFill="1"/>
    <xf numFmtId="9" fontId="10" fillId="0" borderId="0" xfId="1" applyFont="1" applyFill="1"/>
    <xf numFmtId="2" fontId="5" fillId="0" borderId="0" xfId="2" applyNumberFormat="1" applyFont="1" applyFill="1"/>
    <xf numFmtId="2" fontId="1" fillId="0" borderId="0" xfId="2" applyNumberFormat="1" applyFont="1" applyFill="1"/>
    <xf numFmtId="2" fontId="4" fillId="0" borderId="0" xfId="2" applyNumberFormat="1" applyFont="1" applyFill="1"/>
    <xf numFmtId="2" fontId="0" fillId="0" borderId="0" xfId="0" applyNumberFormat="1" applyFont="1" applyFill="1"/>
    <xf numFmtId="9" fontId="1" fillId="0" borderId="0" xfId="1" applyFont="1"/>
    <xf numFmtId="0" fontId="0" fillId="2" borderId="0" xfId="0" applyFont="1" applyFill="1" applyAlignment="1">
      <alignment horizontal="center"/>
    </xf>
    <xf numFmtId="0" fontId="23" fillId="0" borderId="0" xfId="0" applyFont="1" applyBorder="1" applyAlignment="1">
      <alignment horizontal="left"/>
    </xf>
    <xf numFmtId="0" fontId="22" fillId="0" borderId="16" xfId="0" applyFont="1" applyBorder="1" applyAlignment="1">
      <alignment horizontal="center" wrapText="1"/>
    </xf>
    <xf numFmtId="0" fontId="23" fillId="0" borderId="6" xfId="0" applyFont="1" applyBorder="1" applyAlignment="1">
      <alignment horizontal="right"/>
    </xf>
    <xf numFmtId="0" fontId="22" fillId="0" borderId="6" xfId="0" applyFont="1" applyBorder="1" applyAlignment="1">
      <alignment horizontal="center"/>
    </xf>
    <xf numFmtId="0" fontId="21" fillId="0" borderId="0" xfId="0" applyFont="1" applyBorder="1" applyAlignment="1">
      <alignment horizontal="center"/>
    </xf>
    <xf numFmtId="171" fontId="0" fillId="0" borderId="0" xfId="0" applyNumberFormat="1" applyBorder="1" applyAlignment="1"/>
    <xf numFmtId="165" fontId="26" fillId="2" borderId="0" xfId="2" applyNumberFormat="1" applyFont="1" applyFill="1"/>
    <xf numFmtId="9" fontId="4" fillId="2" borderId="0" xfId="1" applyNumberFormat="1" applyFont="1" applyFill="1"/>
    <xf numFmtId="9" fontId="1" fillId="2" borderId="0" xfId="1" applyNumberFormat="1" applyFont="1" applyFill="1"/>
    <xf numFmtId="165" fontId="5" fillId="0" borderId="0" xfId="2" applyNumberFormat="1" applyFont="1" applyFill="1" applyBorder="1" applyAlignment="1">
      <alignment horizontal="center"/>
    </xf>
    <xf numFmtId="9" fontId="0" fillId="0" borderId="26" xfId="0" applyNumberFormat="1" applyFont="1" applyFill="1" applyBorder="1" applyAlignment="1">
      <alignment horizontal="center"/>
    </xf>
    <xf numFmtId="9" fontId="0" fillId="0" borderId="0" xfId="0" applyNumberFormat="1" applyFont="1" applyFill="1" applyBorder="1" applyAlignment="1">
      <alignment horizontal="center"/>
    </xf>
    <xf numFmtId="165" fontId="32" fillId="0" borderId="0" xfId="2" applyNumberFormat="1" applyFont="1" applyAlignment="1">
      <alignment horizontal="center"/>
    </xf>
    <xf numFmtId="165" fontId="27" fillId="2" borderId="0" xfId="0" applyNumberFormat="1" applyFont="1" applyFill="1"/>
    <xf numFmtId="9" fontId="4" fillId="2" borderId="0" xfId="1" applyFont="1" applyFill="1" applyAlignment="1">
      <alignment horizontal="center"/>
    </xf>
    <xf numFmtId="9" fontId="1" fillId="2" borderId="0" xfId="1" applyFont="1" applyFill="1" applyAlignment="1">
      <alignment horizontal="center"/>
    </xf>
    <xf numFmtId="9" fontId="4" fillId="2" borderId="0" xfId="1" applyFont="1" applyFill="1"/>
    <xf numFmtId="165" fontId="20" fillId="2" borderId="0" xfId="2" applyNumberFormat="1" applyFont="1" applyFill="1" applyAlignment="1">
      <alignment horizontal="center"/>
    </xf>
    <xf numFmtId="165" fontId="20" fillId="2" borderId="0" xfId="2" applyNumberFormat="1" applyFont="1" applyFill="1"/>
    <xf numFmtId="9" fontId="1" fillId="2" borderId="0" xfId="1" applyFont="1" applyFill="1"/>
    <xf numFmtId="165" fontId="0" fillId="0" borderId="13" xfId="0" applyNumberFormat="1" applyBorder="1"/>
    <xf numFmtId="168" fontId="1" fillId="0" borderId="0" xfId="2" applyNumberFormat="1" applyFont="1" applyFill="1" applyBorder="1"/>
    <xf numFmtId="9" fontId="1" fillId="0" borderId="9" xfId="0" applyNumberFormat="1" applyFont="1" applyFill="1" applyBorder="1"/>
    <xf numFmtId="165" fontId="5" fillId="0" borderId="0" xfId="2" applyNumberFormat="1" applyFont="1"/>
    <xf numFmtId="43" fontId="0" fillId="0" borderId="0" xfId="0" applyNumberFormat="1"/>
    <xf numFmtId="165" fontId="10" fillId="2" borderId="0" xfId="2" applyNumberFormat="1" applyFont="1" applyFill="1"/>
    <xf numFmtId="165" fontId="10" fillId="0" borderId="0" xfId="2" applyNumberFormat="1" applyFont="1"/>
    <xf numFmtId="0" fontId="5" fillId="0" borderId="0" xfId="0" applyFont="1"/>
    <xf numFmtId="165" fontId="10" fillId="0" borderId="0" xfId="2" applyNumberFormat="1" applyFont="1" applyAlignment="1">
      <alignment horizontal="center"/>
    </xf>
    <xf numFmtId="0" fontId="1" fillId="0" borderId="9" xfId="0" applyFont="1" applyFill="1" applyBorder="1" applyAlignment="1">
      <alignment horizontal="center"/>
    </xf>
    <xf numFmtId="1" fontId="22" fillId="0" borderId="6" xfId="0" applyNumberFormat="1" applyFont="1" applyBorder="1" applyAlignment="1">
      <alignment wrapText="1"/>
    </xf>
    <xf numFmtId="0" fontId="0" fillId="0" borderId="0" xfId="0" applyAlignment="1">
      <alignment wrapText="1"/>
    </xf>
    <xf numFmtId="0" fontId="0" fillId="0" borderId="7"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6" xfId="0" applyFill="1" applyBorder="1" applyAlignment="1">
      <alignment wrapText="1"/>
    </xf>
  </cellXfs>
  <cellStyles count="17">
    <cellStyle name="Comma" xfId="2" builtinId="3"/>
    <cellStyle name="Comma [0] 2" xfId="4"/>
    <cellStyle name="Comma 2" xfId="5"/>
    <cellStyle name="Comma 2 2" xfId="6"/>
    <cellStyle name="Comma 3" xfId="7"/>
    <cellStyle name="Comma0" xfId="8"/>
    <cellStyle name="Currency" xfId="3" builtinId="4"/>
    <cellStyle name="Currency 2" xfId="9"/>
    <cellStyle name="Normal" xfId="0" builtinId="0"/>
    <cellStyle name="Normal 2" xfId="10"/>
    <cellStyle name="Normal 2 2" xfId="11"/>
    <cellStyle name="Normal 3" xfId="12"/>
    <cellStyle name="Normal 4" xfId="13"/>
    <cellStyle name="Percent" xfId="1" builtinId="5"/>
    <cellStyle name="Percent 2" xfId="14"/>
    <cellStyle name="Percent 2 2" xfId="15"/>
    <cellStyle name="Percent 3" xfId="16"/>
  </cellStyles>
  <dxfs count="0"/>
  <tableStyles count="0" defaultTableStyle="TableStyleMedium2" defaultPivotStyle="PivotStyleLight16"/>
  <colors>
    <mruColors>
      <color rgb="FFF74343"/>
      <color rgb="FFFFFF99"/>
      <color rgb="FF31F34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17</xdr:row>
      <xdr:rowOff>95250</xdr:rowOff>
    </xdr:from>
    <xdr:to>
      <xdr:col>14</xdr:col>
      <xdr:colOff>19050</xdr:colOff>
      <xdr:row>17</xdr:row>
      <xdr:rowOff>95250</xdr:rowOff>
    </xdr:to>
    <xdr:cxnSp macro="">
      <xdr:nvCxnSpPr>
        <xdr:cNvPr id="2" name="Straight Arrow Connector 1"/>
        <xdr:cNvCxnSpPr/>
      </xdr:nvCxnSpPr>
      <xdr:spPr>
        <a:xfrm>
          <a:off x="10848975" y="3648075"/>
          <a:ext cx="7315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674"/>
  <sheetViews>
    <sheetView tabSelected="1" zoomScaleNormal="100" zoomScaleSheetLayoutView="100" workbookViewId="0">
      <selection activeCell="B3" sqref="B3"/>
    </sheetView>
  </sheetViews>
  <sheetFormatPr defaultRowHeight="15" x14ac:dyDescent="0.25"/>
  <cols>
    <col min="1" max="1" width="3.85546875" customWidth="1"/>
    <col min="2" max="2" width="10.7109375" customWidth="1"/>
    <col min="3" max="3" width="20.140625" customWidth="1"/>
    <col min="4" max="5" width="18" bestFit="1" customWidth="1"/>
    <col min="6" max="6" width="17.7109375" customWidth="1"/>
    <col min="7" max="7" width="18.28515625" customWidth="1"/>
    <col min="8" max="8" width="13.5703125" customWidth="1"/>
    <col min="9" max="9" width="14.28515625" customWidth="1"/>
    <col min="10" max="10" width="13" customWidth="1"/>
    <col min="11" max="11" width="12.28515625" customWidth="1"/>
    <col min="12" max="12" width="12.7109375" customWidth="1"/>
    <col min="13" max="13" width="13.28515625" customWidth="1"/>
    <col min="14" max="26" width="12.5703125" customWidth="1"/>
  </cols>
  <sheetData>
    <row r="2" spans="1:15" ht="24.75" customHeight="1" x14ac:dyDescent="0.35">
      <c r="A2" s="7"/>
      <c r="B2" s="146" t="s">
        <v>74</v>
      </c>
      <c r="C2" s="147"/>
      <c r="D2" s="147"/>
      <c r="E2" s="147"/>
      <c r="F2" s="147"/>
      <c r="G2" s="148"/>
      <c r="H2" s="148"/>
      <c r="I2" s="147"/>
      <c r="J2" s="147"/>
      <c r="K2" s="147"/>
      <c r="L2" s="147"/>
      <c r="M2" s="149"/>
      <c r="N2" s="149"/>
      <c r="O2" s="149"/>
    </row>
    <row r="3" spans="1:15" ht="24.75" customHeight="1" x14ac:dyDescent="0.35">
      <c r="A3" s="7"/>
      <c r="B3" s="146" t="s">
        <v>76</v>
      </c>
      <c r="C3" s="147"/>
      <c r="D3" s="147"/>
      <c r="E3" s="147"/>
      <c r="F3" s="147"/>
      <c r="G3" s="148"/>
      <c r="H3" s="148"/>
      <c r="I3" s="147"/>
      <c r="J3" s="147"/>
      <c r="K3" s="147"/>
      <c r="L3" s="147"/>
      <c r="M3" s="149"/>
      <c r="N3" s="149"/>
      <c r="O3" s="149"/>
    </row>
    <row r="5" spans="1:15" s="69" customFormat="1" ht="24.75" customHeight="1" x14ac:dyDescent="0.4">
      <c r="A5" s="53"/>
      <c r="B5" s="150" t="s">
        <v>75</v>
      </c>
      <c r="C5" s="151"/>
      <c r="D5" s="152"/>
      <c r="E5" s="152"/>
      <c r="F5" s="152"/>
      <c r="G5" s="152"/>
      <c r="H5" s="152"/>
      <c r="I5" s="153"/>
      <c r="J5" s="153"/>
      <c r="K5" s="153"/>
      <c r="L5" s="153"/>
      <c r="M5" s="153"/>
      <c r="N5" s="153"/>
      <c r="O5" s="153"/>
    </row>
    <row r="6" spans="1:15" ht="15.75" thickBot="1" x14ac:dyDescent="0.3">
      <c r="A6" s="1"/>
      <c r="B6" s="34"/>
      <c r="C6" s="34"/>
      <c r="D6" s="45"/>
      <c r="E6" s="45"/>
      <c r="F6" s="363"/>
      <c r="G6" s="363"/>
      <c r="H6" s="363"/>
      <c r="I6" s="363"/>
    </row>
    <row r="7" spans="1:15" x14ac:dyDescent="0.25">
      <c r="A7" s="1"/>
      <c r="B7" s="250" t="s">
        <v>183</v>
      </c>
      <c r="C7" s="255"/>
      <c r="D7" s="251"/>
      <c r="E7" s="251"/>
      <c r="F7" s="252" t="s">
        <v>17</v>
      </c>
      <c r="G7" s="253"/>
      <c r="H7" s="252" t="s">
        <v>18</v>
      </c>
      <c r="I7" s="254"/>
    </row>
    <row r="8" spans="1:15" x14ac:dyDescent="0.25">
      <c r="A8" s="1"/>
      <c r="B8" s="18" t="s">
        <v>105</v>
      </c>
      <c r="C8" s="6"/>
      <c r="D8" s="4"/>
      <c r="E8" s="4"/>
      <c r="F8" s="28"/>
      <c r="G8" s="29"/>
      <c r="H8" s="219">
        <v>7000</v>
      </c>
      <c r="I8" s="54" t="s">
        <v>73</v>
      </c>
    </row>
    <row r="9" spans="1:15" x14ac:dyDescent="0.25">
      <c r="A9" s="1"/>
      <c r="B9" s="18" t="s">
        <v>106</v>
      </c>
      <c r="C9" s="6"/>
      <c r="D9" s="4"/>
      <c r="E9" s="4"/>
      <c r="F9" s="28"/>
      <c r="G9" s="29"/>
      <c r="H9" s="217">
        <v>0.25</v>
      </c>
      <c r="I9" s="54"/>
    </row>
    <row r="10" spans="1:15" x14ac:dyDescent="0.25">
      <c r="A10" s="1"/>
      <c r="B10" s="18" t="s">
        <v>120</v>
      </c>
      <c r="C10" s="6"/>
      <c r="D10" s="4"/>
      <c r="E10" s="4"/>
      <c r="F10" s="28"/>
      <c r="G10" s="29"/>
      <c r="H10" s="217">
        <f>1-H9</f>
        <v>0.75</v>
      </c>
      <c r="I10" s="54"/>
    </row>
    <row r="11" spans="1:15" x14ac:dyDescent="0.25">
      <c r="A11" s="1"/>
      <c r="B11" s="18" t="s">
        <v>255</v>
      </c>
      <c r="C11" s="6"/>
      <c r="D11" s="4"/>
      <c r="E11" s="4"/>
      <c r="F11" s="28"/>
      <c r="G11" s="29"/>
      <c r="H11" s="217">
        <v>0.25</v>
      </c>
      <c r="I11" s="54"/>
    </row>
    <row r="12" spans="1:15" x14ac:dyDescent="0.25">
      <c r="A12" s="2"/>
      <c r="B12" s="9" t="s">
        <v>10</v>
      </c>
      <c r="C12" s="2"/>
      <c r="D12" s="2"/>
      <c r="E12" s="2"/>
      <c r="F12" s="94"/>
      <c r="G12" s="93"/>
      <c r="H12" s="95">
        <v>6.96</v>
      </c>
      <c r="I12" s="194" t="s">
        <v>11</v>
      </c>
    </row>
    <row r="13" spans="1:15" x14ac:dyDescent="0.25">
      <c r="A13" s="1"/>
      <c r="B13" s="18"/>
      <c r="C13" s="6"/>
      <c r="D13" s="4"/>
      <c r="E13" s="4"/>
      <c r="F13" s="28"/>
      <c r="G13" s="29"/>
      <c r="H13" s="184"/>
      <c r="I13" s="54"/>
    </row>
    <row r="14" spans="1:15" x14ac:dyDescent="0.25">
      <c r="A14" s="2"/>
      <c r="B14" s="9" t="s">
        <v>2</v>
      </c>
      <c r="C14" s="2"/>
      <c r="D14" s="2"/>
      <c r="E14" s="2"/>
      <c r="F14" s="259">
        <v>0.7</v>
      </c>
      <c r="G14" s="92" t="s">
        <v>3</v>
      </c>
      <c r="H14" s="265">
        <f>F14</f>
        <v>0.7</v>
      </c>
      <c r="I14" s="15" t="s">
        <v>3</v>
      </c>
    </row>
    <row r="15" spans="1:15" x14ac:dyDescent="0.25">
      <c r="A15" s="2"/>
      <c r="B15" s="9"/>
      <c r="C15" s="2"/>
      <c r="D15" s="2"/>
      <c r="E15" s="2"/>
      <c r="F15" s="94"/>
      <c r="G15" s="92"/>
      <c r="H15" s="185"/>
      <c r="I15" s="15"/>
    </row>
    <row r="16" spans="1:15" x14ac:dyDescent="0.25">
      <c r="A16" s="2"/>
      <c r="B16" s="9" t="s">
        <v>140</v>
      </c>
      <c r="C16" s="2"/>
      <c r="D16" s="2"/>
      <c r="E16" s="2"/>
      <c r="F16" s="94">
        <v>17.14</v>
      </c>
      <c r="G16" s="92" t="s">
        <v>53</v>
      </c>
      <c r="H16" s="185" t="s">
        <v>45</v>
      </c>
      <c r="I16" s="15"/>
      <c r="K16" s="218"/>
    </row>
    <row r="17" spans="1:10" x14ac:dyDescent="0.25">
      <c r="A17" s="2"/>
      <c r="B17" s="9" t="s">
        <v>141</v>
      </c>
      <c r="C17" s="2"/>
      <c r="D17" s="2"/>
      <c r="E17" s="2"/>
      <c r="F17" s="94">
        <v>17.14</v>
      </c>
      <c r="G17" s="92" t="s">
        <v>53</v>
      </c>
      <c r="H17" s="185" t="s">
        <v>123</v>
      </c>
      <c r="I17" s="15"/>
    </row>
    <row r="18" spans="1:10" s="69" customFormat="1" x14ac:dyDescent="0.25">
      <c r="A18" s="4"/>
      <c r="B18" s="10"/>
      <c r="C18" s="4"/>
      <c r="D18" s="4"/>
      <c r="E18" s="4"/>
      <c r="F18" s="94"/>
      <c r="G18" s="93"/>
      <c r="H18" s="186"/>
      <c r="I18" s="54"/>
    </row>
    <row r="19" spans="1:10" x14ac:dyDescent="0.25">
      <c r="A19" s="2"/>
      <c r="B19" s="9" t="s">
        <v>139</v>
      </c>
      <c r="C19" s="2"/>
      <c r="D19" s="2"/>
      <c r="E19" s="2"/>
      <c r="F19" s="94">
        <v>950</v>
      </c>
      <c r="G19" s="93" t="s">
        <v>58</v>
      </c>
      <c r="H19" s="343">
        <v>1180</v>
      </c>
      <c r="I19" s="15" t="s">
        <v>58</v>
      </c>
    </row>
    <row r="20" spans="1:10" x14ac:dyDescent="0.25">
      <c r="A20" s="2"/>
      <c r="B20" s="9" t="s">
        <v>138</v>
      </c>
      <c r="C20" s="2"/>
      <c r="D20" s="2"/>
      <c r="E20" s="2"/>
      <c r="F20" s="94">
        <v>900</v>
      </c>
      <c r="G20" s="93" t="s">
        <v>58</v>
      </c>
      <c r="H20" s="343">
        <v>1180</v>
      </c>
      <c r="I20" s="44" t="s">
        <v>58</v>
      </c>
    </row>
    <row r="21" spans="1:10" x14ac:dyDescent="0.25">
      <c r="A21" s="2"/>
      <c r="B21" s="9"/>
      <c r="C21" s="2"/>
      <c r="D21" s="2"/>
      <c r="E21" s="2"/>
      <c r="F21" s="95"/>
      <c r="G21" s="29"/>
      <c r="H21" s="187"/>
      <c r="I21" s="15"/>
      <c r="J21" s="52"/>
    </row>
    <row r="22" spans="1:10" x14ac:dyDescent="0.25">
      <c r="A22" s="2"/>
      <c r="B22" s="9" t="s">
        <v>113</v>
      </c>
      <c r="C22" s="2"/>
      <c r="D22" s="2"/>
      <c r="E22" s="2"/>
      <c r="F22" s="96">
        <v>1.1000000000000001</v>
      </c>
      <c r="G22" s="29"/>
      <c r="H22" s="96">
        <v>1.01</v>
      </c>
      <c r="I22" s="15"/>
    </row>
    <row r="23" spans="1:10" x14ac:dyDescent="0.25">
      <c r="A23" s="2"/>
      <c r="B23" s="9"/>
      <c r="C23" s="2"/>
      <c r="D23" s="2"/>
      <c r="E23" s="2"/>
      <c r="F23" s="96"/>
      <c r="G23" s="29"/>
      <c r="H23" s="188"/>
      <c r="I23" s="15"/>
    </row>
    <row r="24" spans="1:10" x14ac:dyDescent="0.25">
      <c r="A24" s="2"/>
      <c r="B24" s="18" t="s">
        <v>43</v>
      </c>
      <c r="C24" s="37"/>
      <c r="D24" s="37"/>
      <c r="E24" s="37"/>
      <c r="F24" s="344">
        <f>IF(F22&gt;=1.3,0.5, 0.3)</f>
        <v>0.3</v>
      </c>
      <c r="G24" s="42"/>
      <c r="H24" s="345">
        <f>IF(H22&gt;=1.1,F24, 0.1)</f>
        <v>0.1</v>
      </c>
      <c r="I24" s="55"/>
    </row>
    <row r="25" spans="1:10" x14ac:dyDescent="0.25">
      <c r="A25" s="2"/>
      <c r="B25" s="18" t="s">
        <v>44</v>
      </c>
      <c r="C25" s="37"/>
      <c r="D25" s="37"/>
      <c r="E25" s="37"/>
      <c r="F25" s="344">
        <f>1-F24</f>
        <v>0.7</v>
      </c>
      <c r="G25" s="43"/>
      <c r="H25" s="344">
        <f>1-H24</f>
        <v>0.9</v>
      </c>
      <c r="I25" s="55"/>
    </row>
    <row r="26" spans="1:10" x14ac:dyDescent="0.25">
      <c r="A26" s="2"/>
      <c r="B26" s="18" t="s">
        <v>114</v>
      </c>
      <c r="C26" s="37"/>
      <c r="D26" s="37"/>
      <c r="E26" s="37"/>
      <c r="F26" s="344">
        <f>IF(F22&gt;=1.3,0.5, F24)</f>
        <v>0.3</v>
      </c>
      <c r="G26" s="43"/>
      <c r="H26" s="344">
        <f>IF(H22&gt;=1.1,F24, H24)</f>
        <v>0.1</v>
      </c>
      <c r="I26" s="55"/>
    </row>
    <row r="27" spans="1:10" ht="15.75" thickBot="1" x14ac:dyDescent="0.3">
      <c r="A27" s="2"/>
      <c r="B27" s="18" t="s">
        <v>115</v>
      </c>
      <c r="C27" s="2"/>
      <c r="D27" s="2"/>
      <c r="E27" s="2"/>
      <c r="F27" s="260">
        <f>1-F26</f>
        <v>0.7</v>
      </c>
      <c r="G27" s="4"/>
      <c r="H27" s="260">
        <f>1-H26</f>
        <v>0.9</v>
      </c>
      <c r="I27" s="55"/>
    </row>
    <row r="28" spans="1:10" ht="15.75" thickBot="1" x14ac:dyDescent="0.3">
      <c r="A28" s="2"/>
      <c r="B28" s="60"/>
      <c r="C28" s="60"/>
      <c r="D28" s="60"/>
      <c r="E28" s="60"/>
      <c r="F28" s="249"/>
      <c r="G28" s="60"/>
      <c r="H28" s="60"/>
      <c r="I28" s="60"/>
    </row>
    <row r="29" spans="1:10" x14ac:dyDescent="0.25">
      <c r="A29" s="2"/>
      <c r="B29" s="250" t="s">
        <v>182</v>
      </c>
      <c r="C29" s="251"/>
      <c r="D29" s="251"/>
      <c r="E29" s="251"/>
      <c r="F29" s="252" t="s">
        <v>17</v>
      </c>
      <c r="G29" s="253"/>
      <c r="H29" s="252" t="s">
        <v>18</v>
      </c>
      <c r="I29" s="254"/>
    </row>
    <row r="30" spans="1:10" x14ac:dyDescent="0.25">
      <c r="A30" s="2"/>
      <c r="B30" s="10" t="s">
        <v>239</v>
      </c>
      <c r="C30" s="2"/>
      <c r="D30" s="2"/>
      <c r="E30" s="2"/>
      <c r="F30" s="97"/>
      <c r="G30" s="71"/>
      <c r="H30" s="97">
        <v>3.4000000000000002E-2</v>
      </c>
      <c r="I30" s="15"/>
    </row>
    <row r="31" spans="1:10" x14ac:dyDescent="0.25">
      <c r="A31" s="2"/>
      <c r="B31" s="10" t="s">
        <v>240</v>
      </c>
      <c r="C31" s="2"/>
      <c r="D31" s="2"/>
      <c r="E31" s="2"/>
      <c r="F31" s="97"/>
      <c r="G31" s="71"/>
      <c r="H31" s="260">
        <v>0.1</v>
      </c>
      <c r="I31" s="15"/>
    </row>
    <row r="32" spans="1:10" x14ac:dyDescent="0.25">
      <c r="A32" s="2"/>
      <c r="B32" s="10" t="s">
        <v>277</v>
      </c>
      <c r="C32" s="2"/>
      <c r="D32" s="2"/>
      <c r="E32" s="2"/>
      <c r="F32" s="97"/>
      <c r="G32" s="71"/>
      <c r="H32" s="260">
        <v>0.16</v>
      </c>
      <c r="I32" s="15"/>
    </row>
    <row r="33" spans="1:14" x14ac:dyDescent="0.25">
      <c r="A33" s="2"/>
      <c r="B33" s="10" t="s">
        <v>278</v>
      </c>
      <c r="C33" s="2"/>
      <c r="D33" s="2"/>
      <c r="E33" s="2"/>
      <c r="F33" s="97"/>
      <c r="G33" s="71"/>
      <c r="H33" s="260">
        <v>0</v>
      </c>
      <c r="I33" s="15"/>
    </row>
    <row r="34" spans="1:14" x14ac:dyDescent="0.25">
      <c r="A34" s="2"/>
      <c r="B34" s="10"/>
      <c r="C34" s="2"/>
      <c r="D34" s="2"/>
      <c r="E34" s="2"/>
      <c r="F34" s="97"/>
      <c r="G34" s="71"/>
      <c r="H34" s="260"/>
      <c r="I34" s="15"/>
    </row>
    <row r="35" spans="1:14" x14ac:dyDescent="0.25">
      <c r="A35" s="2"/>
      <c r="B35" s="10" t="s">
        <v>171</v>
      </c>
      <c r="C35" s="2"/>
      <c r="D35" s="2"/>
      <c r="E35" s="2"/>
      <c r="F35" s="97"/>
      <c r="G35" s="71"/>
      <c r="H35" s="260">
        <v>0.2</v>
      </c>
      <c r="I35" s="15"/>
    </row>
    <row r="36" spans="1:14" x14ac:dyDescent="0.25">
      <c r="A36" s="2"/>
      <c r="B36" s="10" t="s">
        <v>172</v>
      </c>
      <c r="C36" s="2"/>
      <c r="D36" s="2"/>
      <c r="E36" s="2"/>
      <c r="F36" s="97"/>
      <c r="G36" s="71"/>
      <c r="H36" s="260">
        <v>0.5</v>
      </c>
      <c r="I36" s="15"/>
    </row>
    <row r="37" spans="1:14" x14ac:dyDescent="0.25">
      <c r="A37" s="2"/>
      <c r="B37" s="10" t="s">
        <v>173</v>
      </c>
      <c r="C37" s="2"/>
      <c r="D37" s="2"/>
      <c r="E37" s="2"/>
      <c r="F37" s="97"/>
      <c r="G37" s="71"/>
      <c r="H37" s="260">
        <v>0.8</v>
      </c>
      <c r="I37" s="15"/>
    </row>
    <row r="38" spans="1:14" x14ac:dyDescent="0.25">
      <c r="A38" s="2"/>
      <c r="B38" s="10" t="s">
        <v>174</v>
      </c>
      <c r="C38" s="2"/>
      <c r="D38" s="2"/>
      <c r="E38" s="2"/>
      <c r="F38" s="97"/>
      <c r="G38" s="71"/>
      <c r="H38" s="260">
        <v>0.9</v>
      </c>
      <c r="I38" s="15"/>
    </row>
    <row r="39" spans="1:14" x14ac:dyDescent="0.25">
      <c r="A39" s="2"/>
      <c r="B39" s="10" t="s">
        <v>175</v>
      </c>
      <c r="C39" s="2"/>
      <c r="D39" s="2"/>
      <c r="E39" s="2"/>
      <c r="F39" s="97"/>
      <c r="G39" s="71"/>
      <c r="H39" s="260">
        <v>1</v>
      </c>
      <c r="I39" s="15"/>
    </row>
    <row r="40" spans="1:14" x14ac:dyDescent="0.25">
      <c r="A40" s="2"/>
      <c r="B40" s="10"/>
      <c r="C40" s="2"/>
      <c r="D40" s="2"/>
      <c r="E40" s="2"/>
      <c r="F40" s="97"/>
      <c r="G40" s="71"/>
      <c r="H40" s="260"/>
      <c r="I40" s="15"/>
    </row>
    <row r="41" spans="1:14" x14ac:dyDescent="0.25">
      <c r="A41" s="2"/>
      <c r="B41" s="10" t="s">
        <v>59</v>
      </c>
      <c r="C41" s="2"/>
      <c r="D41" s="2"/>
      <c r="E41" s="2"/>
      <c r="F41" s="97"/>
      <c r="G41" s="71"/>
      <c r="H41" s="260">
        <v>0.8</v>
      </c>
      <c r="I41" s="15"/>
    </row>
    <row r="42" spans="1:14" x14ac:dyDescent="0.25">
      <c r="A42" s="2"/>
      <c r="B42" s="10" t="s">
        <v>181</v>
      </c>
      <c r="C42" s="2"/>
      <c r="D42" s="2"/>
      <c r="E42" s="2"/>
      <c r="F42" s="260">
        <v>0.05</v>
      </c>
      <c r="G42" s="263"/>
      <c r="H42" s="260">
        <v>0.05</v>
      </c>
      <c r="I42" s="15"/>
    </row>
    <row r="43" spans="1:14" x14ac:dyDescent="0.25">
      <c r="A43" s="2"/>
      <c r="B43" s="10"/>
      <c r="C43" s="2"/>
      <c r="D43" s="2"/>
      <c r="E43" s="2"/>
      <c r="F43" s="260"/>
      <c r="G43" s="263"/>
      <c r="H43" s="70"/>
      <c r="I43" s="15"/>
    </row>
    <row r="44" spans="1:14" x14ac:dyDescent="0.25">
      <c r="A44" s="2"/>
      <c r="B44" s="10" t="s">
        <v>124</v>
      </c>
      <c r="C44" s="2"/>
      <c r="D44" s="2"/>
      <c r="E44" s="2"/>
      <c r="F44" s="260">
        <v>0</v>
      </c>
      <c r="G44" s="263"/>
      <c r="H44" s="70"/>
      <c r="I44" s="15"/>
    </row>
    <row r="45" spans="1:14" x14ac:dyDescent="0.25">
      <c r="A45" s="2"/>
      <c r="B45" s="10" t="s">
        <v>9</v>
      </c>
      <c r="C45" s="2"/>
      <c r="D45" s="2"/>
      <c r="E45" s="2"/>
      <c r="F45" s="260">
        <v>0.01</v>
      </c>
      <c r="G45" s="104"/>
      <c r="H45" s="70"/>
      <c r="I45" s="54"/>
      <c r="M45" s="19"/>
      <c r="N45" s="23"/>
    </row>
    <row r="46" spans="1:14" x14ac:dyDescent="0.25">
      <c r="A46" s="2"/>
      <c r="B46" s="10"/>
      <c r="C46" s="2"/>
      <c r="D46" s="2"/>
      <c r="E46" s="2"/>
      <c r="F46" s="260"/>
      <c r="G46" s="263"/>
      <c r="H46" s="70"/>
      <c r="I46" s="15"/>
    </row>
    <row r="47" spans="1:14" x14ac:dyDescent="0.25">
      <c r="A47" s="2"/>
      <c r="B47" s="10"/>
      <c r="C47" s="2"/>
      <c r="D47" s="2"/>
      <c r="E47" s="2"/>
      <c r="F47" s="261" t="s">
        <v>111</v>
      </c>
      <c r="G47" s="262" t="s">
        <v>112</v>
      </c>
      <c r="H47" s="70"/>
      <c r="I47" s="15"/>
    </row>
    <row r="48" spans="1:14" x14ac:dyDescent="0.25">
      <c r="A48" s="2"/>
      <c r="B48" s="10" t="s">
        <v>167</v>
      </c>
      <c r="C48" s="2"/>
      <c r="D48" s="2"/>
      <c r="E48" s="2"/>
      <c r="F48" s="260">
        <v>0.02</v>
      </c>
      <c r="G48" s="104">
        <f>IF(F48-D169&lt;0, 0, F48-D169)</f>
        <v>0</v>
      </c>
      <c r="H48" s="70"/>
      <c r="I48" s="54"/>
      <c r="M48" s="19"/>
      <c r="N48" s="23"/>
    </row>
    <row r="49" spans="1:14" ht="15.75" thickBot="1" x14ac:dyDescent="0.3">
      <c r="A49" s="2"/>
      <c r="B49" s="10" t="s">
        <v>168</v>
      </c>
      <c r="C49" s="2"/>
      <c r="D49" s="2"/>
      <c r="E49" s="2"/>
      <c r="F49" s="260">
        <v>0</v>
      </c>
      <c r="G49" s="104">
        <f>IF(F49-D169&lt;0, 0, F49-D169)</f>
        <v>0</v>
      </c>
      <c r="H49" s="70"/>
      <c r="I49" s="54"/>
      <c r="M49" s="19"/>
      <c r="N49" s="23"/>
    </row>
    <row r="50" spans="1:14" ht="15.75" thickBot="1" x14ac:dyDescent="0.3">
      <c r="A50" s="2"/>
      <c r="B50" s="248"/>
      <c r="C50" s="60"/>
      <c r="D50" s="60"/>
      <c r="E50" s="60"/>
      <c r="F50" s="249"/>
      <c r="G50" s="60"/>
      <c r="H50" s="60"/>
      <c r="I50" s="248"/>
      <c r="M50" s="19"/>
      <c r="N50" s="23"/>
    </row>
    <row r="51" spans="1:14" x14ac:dyDescent="0.25">
      <c r="A51" s="2"/>
      <c r="B51" s="157" t="s">
        <v>184</v>
      </c>
      <c r="C51" s="158"/>
      <c r="D51" s="158"/>
      <c r="E51" s="158"/>
      <c r="F51" s="242" t="s">
        <v>17</v>
      </c>
      <c r="G51" s="247"/>
      <c r="H51" s="242" t="s">
        <v>18</v>
      </c>
      <c r="I51" s="244"/>
      <c r="M51" s="19"/>
      <c r="N51" s="23"/>
    </row>
    <row r="52" spans="1:14" x14ac:dyDescent="0.25">
      <c r="A52" s="2"/>
      <c r="B52" s="9" t="s">
        <v>19</v>
      </c>
      <c r="C52" s="2"/>
      <c r="D52" s="2"/>
      <c r="E52" s="2"/>
      <c r="F52" s="98">
        <v>50</v>
      </c>
      <c r="G52" s="29" t="s">
        <v>125</v>
      </c>
      <c r="H52" s="61">
        <v>100</v>
      </c>
      <c r="I52" s="15" t="s">
        <v>125</v>
      </c>
      <c r="M52" s="19"/>
      <c r="N52" s="23"/>
    </row>
    <row r="53" spans="1:14" x14ac:dyDescent="0.25">
      <c r="A53" s="2"/>
      <c r="B53" s="9" t="s">
        <v>33</v>
      </c>
      <c r="C53" s="2"/>
      <c r="D53" s="2"/>
      <c r="E53" s="2"/>
      <c r="F53" s="99"/>
      <c r="G53" s="29"/>
      <c r="H53" s="61"/>
      <c r="I53" s="15"/>
      <c r="M53" s="19"/>
      <c r="N53" s="23"/>
    </row>
    <row r="54" spans="1:14" x14ac:dyDescent="0.25">
      <c r="A54" s="2"/>
      <c r="B54" s="40" t="s">
        <v>34</v>
      </c>
      <c r="C54" s="2"/>
      <c r="D54" s="2"/>
      <c r="E54" s="2"/>
      <c r="F54" s="99">
        <v>0</v>
      </c>
      <c r="G54" s="29"/>
      <c r="H54" s="61">
        <v>0</v>
      </c>
      <c r="I54" s="15"/>
      <c r="M54" s="19"/>
      <c r="N54" s="23"/>
    </row>
    <row r="55" spans="1:14" x14ac:dyDescent="0.25">
      <c r="A55" s="2"/>
      <c r="B55" s="40" t="s">
        <v>38</v>
      </c>
      <c r="C55" s="2"/>
      <c r="D55" s="2"/>
      <c r="E55" s="2"/>
      <c r="F55" s="99">
        <v>0</v>
      </c>
      <c r="G55" s="3" t="s">
        <v>41</v>
      </c>
      <c r="H55" s="241">
        <v>500</v>
      </c>
      <c r="I55" s="15" t="s">
        <v>41</v>
      </c>
      <c r="M55" s="19"/>
      <c r="N55" s="23"/>
    </row>
    <row r="56" spans="1:14" x14ac:dyDescent="0.25">
      <c r="A56" s="2"/>
      <c r="B56" s="40" t="s">
        <v>35</v>
      </c>
      <c r="C56" s="2"/>
      <c r="D56" s="2"/>
      <c r="E56" s="2"/>
      <c r="F56" s="99">
        <v>0</v>
      </c>
      <c r="G56" s="3" t="s">
        <v>5</v>
      </c>
      <c r="H56" s="241">
        <v>1</v>
      </c>
      <c r="I56" s="15" t="s">
        <v>5</v>
      </c>
      <c r="M56" s="19"/>
      <c r="N56" s="23"/>
    </row>
    <row r="57" spans="1:14" ht="17.25" x14ac:dyDescent="0.25">
      <c r="A57" s="2"/>
      <c r="B57" s="40" t="s">
        <v>36</v>
      </c>
      <c r="C57" s="2"/>
      <c r="D57" s="2"/>
      <c r="E57" s="2"/>
      <c r="F57" s="99">
        <v>0</v>
      </c>
      <c r="G57" s="3" t="s">
        <v>77</v>
      </c>
      <c r="H57" s="241">
        <v>25</v>
      </c>
      <c r="I57" s="15" t="s">
        <v>77</v>
      </c>
      <c r="M57" s="19"/>
      <c r="N57" s="23"/>
    </row>
    <row r="58" spans="1:14" x14ac:dyDescent="0.25">
      <c r="A58" s="2"/>
      <c r="B58" s="240" t="s">
        <v>165</v>
      </c>
      <c r="C58" s="2"/>
      <c r="D58" s="2"/>
      <c r="E58" s="2"/>
      <c r="F58" s="221"/>
      <c r="G58" s="29"/>
      <c r="H58" s="221"/>
      <c r="I58" s="54"/>
      <c r="M58" s="19"/>
      <c r="N58" s="23"/>
    </row>
    <row r="59" spans="1:14" x14ac:dyDescent="0.25">
      <c r="A59" s="2"/>
      <c r="B59" s="40" t="s">
        <v>163</v>
      </c>
      <c r="C59" s="2"/>
      <c r="D59" s="2"/>
      <c r="E59" s="2"/>
      <c r="F59" s="221">
        <v>50</v>
      </c>
      <c r="G59" s="29" t="s">
        <v>125</v>
      </c>
      <c r="H59" s="221">
        <v>100</v>
      </c>
      <c r="I59" s="54" t="s">
        <v>125</v>
      </c>
      <c r="M59" s="19"/>
      <c r="N59" s="23"/>
    </row>
    <row r="60" spans="1:14" x14ac:dyDescent="0.25">
      <c r="A60" s="2"/>
      <c r="B60" s="40" t="s">
        <v>162</v>
      </c>
      <c r="C60" s="2"/>
      <c r="D60" s="2"/>
      <c r="E60" s="2"/>
      <c r="F60" s="221">
        <v>1</v>
      </c>
      <c r="G60" s="29" t="s">
        <v>128</v>
      </c>
      <c r="H60" s="221">
        <v>2</v>
      </c>
      <c r="I60" s="54" t="s">
        <v>128</v>
      </c>
      <c r="M60" s="19"/>
      <c r="N60" s="23"/>
    </row>
    <row r="61" spans="1:14" x14ac:dyDescent="0.25">
      <c r="A61" s="2"/>
      <c r="B61" s="40" t="s">
        <v>164</v>
      </c>
      <c r="C61" s="2"/>
      <c r="D61" s="2"/>
      <c r="E61" s="2"/>
      <c r="F61" s="221">
        <v>1</v>
      </c>
      <c r="G61" s="29" t="s">
        <v>128</v>
      </c>
      <c r="H61" s="221">
        <v>1</v>
      </c>
      <c r="I61" s="54" t="s">
        <v>128</v>
      </c>
      <c r="M61" s="19"/>
      <c r="N61" s="23"/>
    </row>
    <row r="62" spans="1:14" x14ac:dyDescent="0.25">
      <c r="A62" s="2"/>
      <c r="B62" s="9" t="s">
        <v>0</v>
      </c>
      <c r="C62" s="2"/>
      <c r="D62" s="2"/>
      <c r="E62" s="2"/>
      <c r="F62" s="99"/>
      <c r="G62" s="29"/>
      <c r="H62" s="61"/>
      <c r="I62" s="54"/>
      <c r="M62" s="19"/>
      <c r="N62" s="23"/>
    </row>
    <row r="63" spans="1:14" x14ac:dyDescent="0.25">
      <c r="A63" s="2"/>
      <c r="B63" s="40" t="s">
        <v>142</v>
      </c>
      <c r="C63" s="2"/>
      <c r="D63" s="2"/>
      <c r="E63" s="2"/>
      <c r="F63" s="99">
        <v>6.5</v>
      </c>
      <c r="G63" s="29" t="s">
        <v>126</v>
      </c>
      <c r="H63" s="61">
        <v>13</v>
      </c>
      <c r="I63" s="15" t="s">
        <v>126</v>
      </c>
      <c r="M63" s="19"/>
      <c r="N63" s="23"/>
    </row>
    <row r="64" spans="1:14" x14ac:dyDescent="0.25">
      <c r="A64" s="2"/>
      <c r="B64" s="40" t="s">
        <v>143</v>
      </c>
      <c r="C64" s="2"/>
      <c r="D64" s="2"/>
      <c r="E64" s="2"/>
      <c r="F64" s="99">
        <v>0</v>
      </c>
      <c r="G64" s="29" t="s">
        <v>126</v>
      </c>
      <c r="H64" s="61">
        <v>0</v>
      </c>
      <c r="I64" s="15" t="s">
        <v>126</v>
      </c>
      <c r="M64" s="19"/>
      <c r="N64" s="23"/>
    </row>
    <row r="65" spans="1:14" x14ac:dyDescent="0.25">
      <c r="A65" s="2"/>
      <c r="B65" s="40" t="s">
        <v>144</v>
      </c>
      <c r="C65" s="2"/>
      <c r="D65" s="2"/>
      <c r="E65" s="2"/>
      <c r="F65" s="28">
        <v>6.5</v>
      </c>
      <c r="G65" s="29" t="s">
        <v>126</v>
      </c>
      <c r="H65" s="69">
        <v>6.5</v>
      </c>
      <c r="I65" s="15" t="s">
        <v>126</v>
      </c>
      <c r="M65" s="19"/>
      <c r="N65" s="23"/>
    </row>
    <row r="66" spans="1:14" x14ac:dyDescent="0.25">
      <c r="A66" s="2"/>
      <c r="B66" s="40" t="s">
        <v>145</v>
      </c>
      <c r="C66" s="2"/>
      <c r="D66" s="2"/>
      <c r="E66" s="2"/>
      <c r="F66" s="99">
        <v>0</v>
      </c>
      <c r="G66" s="29" t="s">
        <v>127</v>
      </c>
      <c r="H66" s="61">
        <v>1</v>
      </c>
      <c r="I66" s="15" t="s">
        <v>127</v>
      </c>
      <c r="M66" s="19"/>
      <c r="N66" s="23"/>
    </row>
    <row r="67" spans="1:14" x14ac:dyDescent="0.25">
      <c r="A67" s="2"/>
      <c r="B67" s="9" t="s">
        <v>28</v>
      </c>
      <c r="C67" s="2"/>
      <c r="D67" s="2"/>
      <c r="E67" s="2"/>
      <c r="F67" s="99">
        <v>0</v>
      </c>
      <c r="G67" s="29" t="s">
        <v>23</v>
      </c>
      <c r="H67" s="61">
        <f>F67</f>
        <v>0</v>
      </c>
      <c r="I67" s="15" t="s">
        <v>23</v>
      </c>
      <c r="M67" s="19"/>
      <c r="N67" s="23"/>
    </row>
    <row r="68" spans="1:14" x14ac:dyDescent="0.25">
      <c r="A68" s="2"/>
      <c r="B68" s="9" t="s">
        <v>146</v>
      </c>
      <c r="C68" s="2"/>
      <c r="D68" s="2"/>
      <c r="E68" s="2"/>
      <c r="F68" s="99">
        <v>0</v>
      </c>
      <c r="G68" s="29" t="s">
        <v>127</v>
      </c>
      <c r="H68" s="61">
        <v>0.5</v>
      </c>
      <c r="I68" s="15" t="s">
        <v>127</v>
      </c>
      <c r="M68" s="19"/>
      <c r="N68" s="23"/>
    </row>
    <row r="69" spans="1:14" x14ac:dyDescent="0.25">
      <c r="A69" s="2"/>
      <c r="B69" s="9" t="s">
        <v>4</v>
      </c>
      <c r="C69" s="2"/>
      <c r="D69" s="2"/>
      <c r="E69" s="2"/>
      <c r="F69" s="99">
        <v>0</v>
      </c>
      <c r="G69" s="29"/>
      <c r="H69" s="61">
        <f>F69</f>
        <v>0</v>
      </c>
      <c r="I69" s="54"/>
      <c r="M69" s="19"/>
      <c r="N69" s="24"/>
    </row>
    <row r="70" spans="1:14" x14ac:dyDescent="0.25">
      <c r="A70" s="2"/>
      <c r="B70" s="9" t="s">
        <v>20</v>
      </c>
      <c r="C70" s="2"/>
      <c r="D70" s="2"/>
      <c r="E70" s="2"/>
      <c r="F70" s="99">
        <v>3</v>
      </c>
      <c r="G70" s="29" t="s">
        <v>107</v>
      </c>
      <c r="H70" s="61">
        <f>F70</f>
        <v>3</v>
      </c>
      <c r="I70" s="54" t="s">
        <v>107</v>
      </c>
      <c r="M70" s="19"/>
      <c r="N70" s="23"/>
    </row>
    <row r="71" spans="1:14" x14ac:dyDescent="0.25">
      <c r="A71" s="2"/>
      <c r="B71" s="9" t="s">
        <v>26</v>
      </c>
      <c r="C71" s="2"/>
      <c r="D71" s="2"/>
      <c r="E71" s="2"/>
      <c r="F71" s="99">
        <v>1</v>
      </c>
      <c r="G71" s="29" t="s">
        <v>153</v>
      </c>
      <c r="H71" s="61">
        <f>F71</f>
        <v>1</v>
      </c>
      <c r="I71" s="54" t="s">
        <v>153</v>
      </c>
      <c r="M71" s="19"/>
      <c r="N71" s="23"/>
    </row>
    <row r="72" spans="1:14" x14ac:dyDescent="0.25">
      <c r="A72" s="2"/>
      <c r="B72" s="9" t="s">
        <v>29</v>
      </c>
      <c r="C72" s="2"/>
      <c r="D72" s="2"/>
      <c r="E72" s="2"/>
      <c r="F72" s="99">
        <f>SUM(F73:F78)</f>
        <v>20.2</v>
      </c>
      <c r="G72" s="29" t="s">
        <v>128</v>
      </c>
      <c r="H72" s="61">
        <f>SUM(H73:H78)</f>
        <v>35.200000000000003</v>
      </c>
      <c r="I72" s="54" t="s">
        <v>128</v>
      </c>
      <c r="M72" s="19"/>
      <c r="N72" s="24"/>
    </row>
    <row r="73" spans="1:14" x14ac:dyDescent="0.25">
      <c r="A73" s="2"/>
      <c r="B73" s="40" t="s">
        <v>130</v>
      </c>
      <c r="C73" s="2"/>
      <c r="D73" s="2"/>
      <c r="E73" s="2"/>
      <c r="F73" s="99">
        <v>4</v>
      </c>
      <c r="G73" s="29" t="s">
        <v>128</v>
      </c>
      <c r="H73" s="61">
        <v>8</v>
      </c>
      <c r="I73" s="54" t="s">
        <v>128</v>
      </c>
      <c r="M73" s="19"/>
      <c r="N73" s="24"/>
    </row>
    <row r="74" spans="1:14" x14ac:dyDescent="0.25">
      <c r="A74" s="2"/>
      <c r="B74" s="40" t="s">
        <v>24</v>
      </c>
      <c r="C74" s="2"/>
      <c r="D74" s="2"/>
      <c r="E74" s="2"/>
      <c r="F74" s="99">
        <v>12</v>
      </c>
      <c r="G74" s="29" t="s">
        <v>128</v>
      </c>
      <c r="H74" s="61">
        <v>14</v>
      </c>
      <c r="I74" s="54" t="s">
        <v>128</v>
      </c>
      <c r="M74" s="19"/>
      <c r="N74" s="24"/>
    </row>
    <row r="75" spans="1:14" x14ac:dyDescent="0.25">
      <c r="A75" s="2"/>
      <c r="B75" s="40" t="s">
        <v>134</v>
      </c>
      <c r="C75" s="2"/>
      <c r="D75" s="2"/>
      <c r="E75" s="2"/>
      <c r="F75" s="99">
        <v>0.2</v>
      </c>
      <c r="G75" s="29" t="s">
        <v>128</v>
      </c>
      <c r="H75" s="61">
        <v>0.2</v>
      </c>
      <c r="I75" s="54" t="s">
        <v>128</v>
      </c>
      <c r="M75" s="19"/>
      <c r="N75" s="24"/>
    </row>
    <row r="76" spans="1:14" x14ac:dyDescent="0.25">
      <c r="A76" s="2"/>
      <c r="B76" s="40" t="s">
        <v>132</v>
      </c>
      <c r="C76" s="2"/>
      <c r="D76" s="2"/>
      <c r="E76" s="2"/>
      <c r="F76" s="99">
        <v>0</v>
      </c>
      <c r="G76" s="29" t="s">
        <v>128</v>
      </c>
      <c r="H76" s="61">
        <v>1</v>
      </c>
      <c r="I76" s="54" t="s">
        <v>128</v>
      </c>
      <c r="M76" s="19"/>
      <c r="N76" s="24"/>
    </row>
    <row r="77" spans="1:14" x14ac:dyDescent="0.25">
      <c r="A77" s="2"/>
      <c r="B77" s="40" t="s">
        <v>136</v>
      </c>
      <c r="C77" s="2"/>
      <c r="D77" s="2"/>
      <c r="E77" s="2"/>
      <c r="F77" s="99">
        <v>4</v>
      </c>
      <c r="G77" s="29" t="s">
        <v>128</v>
      </c>
      <c r="H77" s="61">
        <v>4</v>
      </c>
      <c r="I77" s="54" t="s">
        <v>128</v>
      </c>
      <c r="M77" s="19"/>
      <c r="N77" s="24"/>
    </row>
    <row r="78" spans="1:14" x14ac:dyDescent="0.25">
      <c r="A78" s="2"/>
      <c r="B78" s="40" t="s">
        <v>25</v>
      </c>
      <c r="C78" s="2"/>
      <c r="D78" s="2"/>
      <c r="E78" s="2"/>
      <c r="F78" s="99">
        <v>0</v>
      </c>
      <c r="G78" s="29" t="s">
        <v>6</v>
      </c>
      <c r="H78" s="61">
        <v>8</v>
      </c>
      <c r="I78" s="54" t="s">
        <v>6</v>
      </c>
      <c r="M78" s="19"/>
      <c r="N78" s="24"/>
    </row>
    <row r="79" spans="1:14" x14ac:dyDescent="0.25">
      <c r="A79" s="2"/>
      <c r="B79" s="40" t="s">
        <v>131</v>
      </c>
      <c r="C79" s="2"/>
      <c r="D79" s="2"/>
      <c r="E79" s="2"/>
      <c r="F79" s="99">
        <v>13</v>
      </c>
      <c r="G79" s="29" t="s">
        <v>126</v>
      </c>
      <c r="H79" s="61">
        <v>19.5</v>
      </c>
      <c r="I79" s="54" t="s">
        <v>126</v>
      </c>
      <c r="M79" s="19"/>
      <c r="N79" s="24"/>
    </row>
    <row r="80" spans="1:14" x14ac:dyDescent="0.25">
      <c r="A80" s="2"/>
      <c r="B80" s="40" t="s">
        <v>133</v>
      </c>
      <c r="C80" s="2"/>
      <c r="D80" s="2"/>
      <c r="E80" s="2"/>
      <c r="F80" s="99">
        <v>54</v>
      </c>
      <c r="G80" s="29" t="s">
        <v>137</v>
      </c>
      <c r="H80" s="61">
        <v>90</v>
      </c>
      <c r="I80" s="54" t="s">
        <v>137</v>
      </c>
      <c r="M80" s="19"/>
      <c r="N80" s="24"/>
    </row>
    <row r="81" spans="1:14" x14ac:dyDescent="0.25">
      <c r="A81" s="2"/>
      <c r="B81" s="40" t="s">
        <v>129</v>
      </c>
      <c r="C81" s="2"/>
      <c r="D81" s="2"/>
      <c r="E81" s="2"/>
      <c r="F81" s="99">
        <v>32</v>
      </c>
      <c r="G81" s="29" t="s">
        <v>135</v>
      </c>
      <c r="H81" s="61">
        <f>F81</f>
        <v>32</v>
      </c>
      <c r="I81" s="54" t="s">
        <v>135</v>
      </c>
      <c r="M81" s="19"/>
      <c r="N81" s="24"/>
    </row>
    <row r="82" spans="1:14" x14ac:dyDescent="0.25">
      <c r="A82" s="2"/>
      <c r="B82" s="9" t="s">
        <v>30</v>
      </c>
      <c r="C82" s="4"/>
      <c r="D82" s="2"/>
      <c r="E82" s="2"/>
      <c r="F82" s="99"/>
      <c r="G82" s="29" t="s">
        <v>6</v>
      </c>
      <c r="H82" s="61">
        <f>F82</f>
        <v>0</v>
      </c>
      <c r="I82" s="54" t="s">
        <v>6</v>
      </c>
      <c r="M82" s="19"/>
      <c r="N82" s="24"/>
    </row>
    <row r="83" spans="1:14" x14ac:dyDescent="0.25">
      <c r="A83" s="2"/>
      <c r="B83" s="9" t="s">
        <v>147</v>
      </c>
      <c r="C83" s="4"/>
      <c r="D83" s="2"/>
      <c r="E83" s="2"/>
      <c r="F83" s="99">
        <v>12</v>
      </c>
      <c r="G83" s="29" t="s">
        <v>126</v>
      </c>
      <c r="H83" s="61">
        <v>20</v>
      </c>
      <c r="I83" s="54" t="s">
        <v>126</v>
      </c>
      <c r="M83" s="19"/>
      <c r="N83" s="24"/>
    </row>
    <row r="84" spans="1:14" x14ac:dyDescent="0.25">
      <c r="A84" s="2"/>
      <c r="B84" s="41" t="s">
        <v>27</v>
      </c>
      <c r="C84" s="2"/>
      <c r="D84" s="2"/>
      <c r="E84" s="2"/>
      <c r="F84" s="99">
        <v>9</v>
      </c>
      <c r="G84" s="29" t="s">
        <v>23</v>
      </c>
      <c r="H84" s="61">
        <f>F84</f>
        <v>9</v>
      </c>
      <c r="I84" s="15" t="s">
        <v>23</v>
      </c>
      <c r="M84" s="19"/>
      <c r="N84" s="24"/>
    </row>
    <row r="85" spans="1:14" x14ac:dyDescent="0.25">
      <c r="A85" s="2"/>
      <c r="B85" s="9" t="s">
        <v>22</v>
      </c>
      <c r="C85" s="2"/>
      <c r="D85" s="2"/>
      <c r="E85" s="2"/>
      <c r="F85" s="99">
        <v>0</v>
      </c>
      <c r="G85" s="29" t="s">
        <v>31</v>
      </c>
      <c r="H85" s="61">
        <v>1</v>
      </c>
      <c r="I85" s="15" t="s">
        <v>31</v>
      </c>
      <c r="M85" s="19"/>
      <c r="N85" s="24"/>
    </row>
    <row r="86" spans="1:14" ht="15.75" thickBot="1" x14ac:dyDescent="0.3">
      <c r="A86" s="2"/>
      <c r="B86" s="9" t="s">
        <v>21</v>
      </c>
      <c r="C86" s="2"/>
      <c r="D86" s="2"/>
      <c r="E86" s="2"/>
      <c r="F86" s="99">
        <v>1</v>
      </c>
      <c r="G86" s="29" t="s">
        <v>32</v>
      </c>
      <c r="H86" s="61">
        <f>F86</f>
        <v>1</v>
      </c>
      <c r="I86" s="15" t="s">
        <v>32</v>
      </c>
      <c r="M86" s="19"/>
      <c r="N86" s="24"/>
    </row>
    <row r="87" spans="1:14" ht="15.75" thickBot="1" x14ac:dyDescent="0.3">
      <c r="A87" s="2"/>
      <c r="B87" s="60"/>
      <c r="C87" s="60"/>
      <c r="D87" s="60"/>
      <c r="E87" s="60"/>
      <c r="F87" s="245"/>
      <c r="G87" s="60"/>
      <c r="H87" s="246"/>
      <c r="I87" s="60"/>
    </row>
    <row r="88" spans="1:14" x14ac:dyDescent="0.25">
      <c r="A88" s="2"/>
      <c r="B88" s="157" t="s">
        <v>185</v>
      </c>
      <c r="C88" s="158"/>
      <c r="D88" s="158"/>
      <c r="E88" s="158"/>
      <c r="F88" s="242" t="s">
        <v>17</v>
      </c>
      <c r="G88" s="243"/>
      <c r="H88" s="242" t="s">
        <v>18</v>
      </c>
      <c r="I88" s="244"/>
    </row>
    <row r="89" spans="1:14" x14ac:dyDescent="0.25">
      <c r="A89" s="2"/>
      <c r="B89" s="9" t="s">
        <v>19</v>
      </c>
      <c r="C89" s="2"/>
      <c r="D89" s="2"/>
      <c r="E89" s="2"/>
      <c r="F89" s="98">
        <v>2.5</v>
      </c>
      <c r="G89" s="58" t="s">
        <v>78</v>
      </c>
      <c r="H89" s="61">
        <f>F89</f>
        <v>2.5</v>
      </c>
      <c r="I89" s="54" t="s">
        <v>78</v>
      </c>
    </row>
    <row r="90" spans="1:14" x14ac:dyDescent="0.25">
      <c r="A90" s="2"/>
      <c r="B90" s="9" t="s">
        <v>33</v>
      </c>
      <c r="C90" s="2"/>
      <c r="D90" s="2"/>
      <c r="E90" s="2"/>
      <c r="F90" s="195"/>
      <c r="G90" s="29"/>
      <c r="H90" s="196"/>
      <c r="I90" s="54"/>
    </row>
    <row r="91" spans="1:14" x14ac:dyDescent="0.25">
      <c r="A91" s="2"/>
      <c r="B91" s="40" t="s">
        <v>34</v>
      </c>
      <c r="C91" s="2"/>
      <c r="D91" s="2"/>
      <c r="E91" s="2"/>
      <c r="F91" s="100">
        <v>0</v>
      </c>
      <c r="G91" s="29"/>
      <c r="H91" s="61">
        <f>F91</f>
        <v>0</v>
      </c>
      <c r="I91" s="54"/>
    </row>
    <row r="92" spans="1:14" x14ac:dyDescent="0.25">
      <c r="A92" s="2"/>
      <c r="B92" s="40" t="s">
        <v>38</v>
      </c>
      <c r="C92" s="2"/>
      <c r="D92" s="2"/>
      <c r="E92" s="2"/>
      <c r="F92" s="195">
        <v>0.02</v>
      </c>
      <c r="G92" s="29" t="s">
        <v>82</v>
      </c>
      <c r="H92" s="196">
        <f>F92</f>
        <v>0.02</v>
      </c>
      <c r="I92" s="54" t="s">
        <v>82</v>
      </c>
    </row>
    <row r="93" spans="1:14" x14ac:dyDescent="0.25">
      <c r="A93" s="2"/>
      <c r="B93" s="40" t="s">
        <v>35</v>
      </c>
      <c r="C93" s="2"/>
      <c r="D93" s="2"/>
      <c r="E93" s="2"/>
      <c r="F93" s="100">
        <v>120</v>
      </c>
      <c r="G93" s="29" t="s">
        <v>83</v>
      </c>
      <c r="H93" s="61">
        <f>F93</f>
        <v>120</v>
      </c>
      <c r="I93" s="54" t="s">
        <v>83</v>
      </c>
    </row>
    <row r="94" spans="1:14" x14ac:dyDescent="0.25">
      <c r="A94" s="2"/>
      <c r="B94" s="40" t="s">
        <v>36</v>
      </c>
      <c r="C94" s="2"/>
      <c r="D94" s="2"/>
      <c r="E94" s="2"/>
      <c r="F94" s="99">
        <v>2</v>
      </c>
      <c r="G94" s="29" t="s">
        <v>84</v>
      </c>
      <c r="H94" s="61">
        <f>F94</f>
        <v>2</v>
      </c>
      <c r="I94" s="54" t="s">
        <v>84</v>
      </c>
    </row>
    <row r="95" spans="1:14" x14ac:dyDescent="0.25">
      <c r="A95" s="2"/>
      <c r="B95" s="240" t="s">
        <v>165</v>
      </c>
      <c r="C95" s="2"/>
      <c r="D95" s="2"/>
      <c r="E95" s="2"/>
      <c r="F95" s="221"/>
      <c r="G95" s="29"/>
      <c r="H95" s="221"/>
      <c r="I95" s="54"/>
      <c r="M95" s="19"/>
      <c r="N95" s="23"/>
    </row>
    <row r="96" spans="1:14" x14ac:dyDescent="0.25">
      <c r="A96" s="2"/>
      <c r="B96" s="40" t="s">
        <v>163</v>
      </c>
      <c r="C96" s="2"/>
      <c r="D96" s="2"/>
      <c r="E96" s="2"/>
      <c r="F96" s="221">
        <v>1</v>
      </c>
      <c r="G96" s="29" t="s">
        <v>166</v>
      </c>
      <c r="H96" s="221">
        <v>1</v>
      </c>
      <c r="I96" s="54" t="s">
        <v>166</v>
      </c>
      <c r="M96" s="19"/>
      <c r="N96" s="23"/>
    </row>
    <row r="97" spans="1:14" x14ac:dyDescent="0.25">
      <c r="A97" s="2"/>
      <c r="B97" s="40" t="s">
        <v>162</v>
      </c>
      <c r="C97" s="2"/>
      <c r="D97" s="2"/>
      <c r="E97" s="2"/>
      <c r="F97" s="221">
        <v>50</v>
      </c>
      <c r="G97" s="29" t="s">
        <v>85</v>
      </c>
      <c r="H97" s="221">
        <v>50</v>
      </c>
      <c r="I97" s="54" t="s">
        <v>85</v>
      </c>
      <c r="M97" s="19"/>
      <c r="N97" s="23"/>
    </row>
    <row r="98" spans="1:14" x14ac:dyDescent="0.25">
      <c r="A98" s="2"/>
      <c r="B98" s="40" t="s">
        <v>164</v>
      </c>
      <c r="C98" s="2"/>
      <c r="D98" s="2"/>
      <c r="E98" s="2"/>
      <c r="F98" s="221">
        <v>50</v>
      </c>
      <c r="G98" s="29" t="s">
        <v>85</v>
      </c>
      <c r="H98" s="221">
        <v>50</v>
      </c>
      <c r="I98" s="54" t="s">
        <v>85</v>
      </c>
      <c r="M98" s="19"/>
      <c r="N98" s="23"/>
    </row>
    <row r="99" spans="1:14" x14ac:dyDescent="0.25">
      <c r="A99" s="2"/>
      <c r="B99" s="9" t="s">
        <v>0</v>
      </c>
      <c r="C99" s="2"/>
      <c r="D99" s="2"/>
      <c r="E99" s="2"/>
      <c r="F99" s="99"/>
      <c r="G99" s="29"/>
      <c r="H99" s="61"/>
      <c r="I99" s="54"/>
    </row>
    <row r="100" spans="1:14" x14ac:dyDescent="0.25">
      <c r="A100" s="2"/>
      <c r="B100" s="40" t="s">
        <v>142</v>
      </c>
      <c r="C100" s="2"/>
      <c r="D100" s="2"/>
      <c r="E100" s="2"/>
      <c r="F100" s="99">
        <v>250</v>
      </c>
      <c r="G100" s="29" t="s">
        <v>58</v>
      </c>
      <c r="H100" s="61">
        <f>F100</f>
        <v>250</v>
      </c>
      <c r="I100" s="54" t="s">
        <v>58</v>
      </c>
    </row>
    <row r="101" spans="1:14" x14ac:dyDescent="0.25">
      <c r="A101" s="2"/>
      <c r="B101" s="40" t="s">
        <v>143</v>
      </c>
      <c r="C101" s="2"/>
      <c r="D101" s="2"/>
      <c r="E101" s="2"/>
      <c r="F101" s="99">
        <v>250</v>
      </c>
      <c r="G101" s="29" t="s">
        <v>58</v>
      </c>
      <c r="H101" s="61">
        <f>F101</f>
        <v>250</v>
      </c>
      <c r="I101" s="54" t="s">
        <v>58</v>
      </c>
      <c r="M101" s="19"/>
      <c r="N101" s="23"/>
    </row>
    <row r="102" spans="1:14" x14ac:dyDescent="0.25">
      <c r="A102" s="2"/>
      <c r="B102" s="40" t="s">
        <v>144</v>
      </c>
      <c r="C102" s="2"/>
      <c r="D102" s="2"/>
      <c r="E102" s="2"/>
      <c r="F102" s="99">
        <v>40</v>
      </c>
      <c r="G102" s="29" t="s">
        <v>58</v>
      </c>
      <c r="H102" s="61">
        <f t="shared" ref="H102:H117" si="0">F102</f>
        <v>40</v>
      </c>
      <c r="I102" s="54" t="s">
        <v>58</v>
      </c>
    </row>
    <row r="103" spans="1:14" x14ac:dyDescent="0.25">
      <c r="A103" s="2"/>
      <c r="B103" s="40" t="s">
        <v>145</v>
      </c>
      <c r="C103" s="2"/>
      <c r="D103" s="2"/>
      <c r="E103" s="2"/>
      <c r="F103" s="99">
        <v>60</v>
      </c>
      <c r="G103" s="29" t="s">
        <v>148</v>
      </c>
      <c r="H103" s="61">
        <f t="shared" si="0"/>
        <v>60</v>
      </c>
      <c r="I103" s="54" t="s">
        <v>148</v>
      </c>
    </row>
    <row r="104" spans="1:14" x14ac:dyDescent="0.25">
      <c r="A104" s="2"/>
      <c r="B104" s="9" t="s">
        <v>28</v>
      </c>
      <c r="C104" s="2"/>
      <c r="D104" s="2"/>
      <c r="E104" s="2"/>
      <c r="F104" s="99">
        <v>5</v>
      </c>
      <c r="G104" s="29" t="s">
        <v>80</v>
      </c>
      <c r="H104" s="61">
        <f t="shared" si="0"/>
        <v>5</v>
      </c>
      <c r="I104" s="54" t="s">
        <v>80</v>
      </c>
      <c r="J104" s="8"/>
    </row>
    <row r="105" spans="1:14" x14ac:dyDescent="0.25">
      <c r="A105" s="2"/>
      <c r="B105" s="9" t="s">
        <v>146</v>
      </c>
      <c r="C105" s="2"/>
      <c r="D105" s="2"/>
      <c r="E105" s="2"/>
      <c r="F105" s="99">
        <v>50</v>
      </c>
      <c r="G105" s="29" t="s">
        <v>148</v>
      </c>
      <c r="H105" s="61">
        <f t="shared" si="0"/>
        <v>50</v>
      </c>
      <c r="I105" s="54" t="s">
        <v>148</v>
      </c>
    </row>
    <row r="106" spans="1:14" x14ac:dyDescent="0.25">
      <c r="A106" s="2"/>
      <c r="B106" s="9" t="s">
        <v>4</v>
      </c>
      <c r="C106" s="2"/>
      <c r="D106" s="2"/>
      <c r="E106" s="2"/>
      <c r="F106" s="99">
        <v>350</v>
      </c>
      <c r="G106" s="29" t="s">
        <v>83</v>
      </c>
      <c r="H106" s="61">
        <f t="shared" si="0"/>
        <v>350</v>
      </c>
      <c r="I106" s="54" t="s">
        <v>83</v>
      </c>
    </row>
    <row r="107" spans="1:14" x14ac:dyDescent="0.25">
      <c r="A107" s="2"/>
      <c r="B107" s="9" t="s">
        <v>20</v>
      </c>
      <c r="C107" s="2"/>
      <c r="D107" s="2"/>
      <c r="E107" s="2"/>
      <c r="F107" s="99">
        <v>50</v>
      </c>
      <c r="G107" s="29" t="s">
        <v>108</v>
      </c>
      <c r="H107" s="61">
        <f>F107</f>
        <v>50</v>
      </c>
      <c r="I107" s="54" t="s">
        <v>108</v>
      </c>
    </row>
    <row r="108" spans="1:14" x14ac:dyDescent="0.25">
      <c r="A108" s="2"/>
      <c r="B108" s="9" t="s">
        <v>26</v>
      </c>
      <c r="C108" s="2"/>
      <c r="D108" s="2"/>
      <c r="E108" s="2"/>
      <c r="F108" s="100">
        <v>12</v>
      </c>
      <c r="G108" s="29" t="s">
        <v>81</v>
      </c>
      <c r="H108" s="61">
        <f t="shared" si="0"/>
        <v>12</v>
      </c>
      <c r="I108" s="54" t="s">
        <v>81</v>
      </c>
    </row>
    <row r="109" spans="1:14" x14ac:dyDescent="0.25">
      <c r="A109" s="2"/>
      <c r="B109" s="9" t="s">
        <v>55</v>
      </c>
      <c r="C109" s="2"/>
      <c r="D109" s="2"/>
      <c r="E109" s="2"/>
      <c r="F109" s="99">
        <v>50</v>
      </c>
      <c r="G109" s="29" t="s">
        <v>85</v>
      </c>
      <c r="H109" s="61">
        <f>F109</f>
        <v>50</v>
      </c>
      <c r="I109" s="54" t="s">
        <v>85</v>
      </c>
    </row>
    <row r="110" spans="1:14" x14ac:dyDescent="0.25">
      <c r="A110" s="2"/>
      <c r="B110" s="41" t="s">
        <v>149</v>
      </c>
      <c r="C110" s="2"/>
      <c r="D110" s="2"/>
      <c r="E110" s="2"/>
      <c r="F110" s="99">
        <v>25</v>
      </c>
      <c r="G110" s="29" t="s">
        <v>58</v>
      </c>
      <c r="H110" s="61">
        <f>F110</f>
        <v>25</v>
      </c>
      <c r="I110" s="54" t="s">
        <v>58</v>
      </c>
    </row>
    <row r="111" spans="1:14" x14ac:dyDescent="0.25">
      <c r="A111" s="2"/>
      <c r="B111" s="41" t="s">
        <v>150</v>
      </c>
      <c r="C111" s="2"/>
      <c r="D111" s="2"/>
      <c r="E111" s="2"/>
      <c r="F111" s="99">
        <v>40</v>
      </c>
      <c r="G111" s="29" t="s">
        <v>58</v>
      </c>
      <c r="H111" s="61">
        <f>F111</f>
        <v>40</v>
      </c>
      <c r="I111" s="54" t="s">
        <v>58</v>
      </c>
    </row>
    <row r="112" spans="1:14" x14ac:dyDescent="0.25">
      <c r="B112" s="9" t="s">
        <v>152</v>
      </c>
      <c r="F112" s="99">
        <v>20</v>
      </c>
      <c r="G112" s="29" t="s">
        <v>151</v>
      </c>
      <c r="H112" s="61">
        <f>F112</f>
        <v>20</v>
      </c>
      <c r="I112" s="54" t="s">
        <v>151</v>
      </c>
    </row>
    <row r="113" spans="1:14" x14ac:dyDescent="0.25">
      <c r="B113" s="9" t="s">
        <v>147</v>
      </c>
      <c r="F113" s="99">
        <v>35</v>
      </c>
      <c r="G113" s="29" t="s">
        <v>58</v>
      </c>
      <c r="H113" s="61">
        <f>F113</f>
        <v>35</v>
      </c>
      <c r="I113" s="54" t="s">
        <v>58</v>
      </c>
    </row>
    <row r="114" spans="1:14" x14ac:dyDescent="0.25">
      <c r="A114" s="2"/>
      <c r="B114" s="41" t="s">
        <v>27</v>
      </c>
      <c r="C114" s="2"/>
      <c r="D114" s="2"/>
      <c r="E114" s="2"/>
      <c r="F114" s="99">
        <v>3</v>
      </c>
      <c r="G114" s="29" t="s">
        <v>79</v>
      </c>
      <c r="H114" s="61">
        <f t="shared" si="0"/>
        <v>3</v>
      </c>
      <c r="I114" s="54" t="s">
        <v>79</v>
      </c>
    </row>
    <row r="115" spans="1:14" x14ac:dyDescent="0.25">
      <c r="A115" s="2"/>
      <c r="B115" s="9" t="s">
        <v>22</v>
      </c>
      <c r="C115" s="2"/>
      <c r="D115" s="2"/>
      <c r="E115" s="2"/>
      <c r="F115" s="99">
        <v>500</v>
      </c>
      <c r="G115" s="29" t="s">
        <v>86</v>
      </c>
      <c r="H115" s="61">
        <f t="shared" si="0"/>
        <v>500</v>
      </c>
      <c r="I115" s="54" t="s">
        <v>86</v>
      </c>
    </row>
    <row r="116" spans="1:14" x14ac:dyDescent="0.25">
      <c r="A116" s="2"/>
      <c r="B116" s="9" t="s">
        <v>21</v>
      </c>
      <c r="C116" s="2"/>
      <c r="D116" s="2"/>
      <c r="E116" s="2"/>
      <c r="F116" s="99">
        <v>0</v>
      </c>
      <c r="G116" s="29" t="s">
        <v>50</v>
      </c>
      <c r="H116" s="61">
        <f t="shared" si="0"/>
        <v>0</v>
      </c>
      <c r="I116" s="54" t="s">
        <v>50</v>
      </c>
    </row>
    <row r="117" spans="1:14" ht="15.75" thickBot="1" x14ac:dyDescent="0.3">
      <c r="A117" s="2"/>
      <c r="B117" s="16" t="s">
        <v>49</v>
      </c>
      <c r="C117" s="12"/>
      <c r="D117" s="12"/>
      <c r="E117" s="12"/>
      <c r="F117" s="101">
        <v>1150</v>
      </c>
      <c r="G117" s="46" t="s">
        <v>51</v>
      </c>
      <c r="H117" s="62">
        <f t="shared" si="0"/>
        <v>1150</v>
      </c>
      <c r="I117" s="57" t="s">
        <v>51</v>
      </c>
    </row>
    <row r="118" spans="1:14" ht="15.75" thickBot="1" x14ac:dyDescent="0.3">
      <c r="A118" s="2"/>
      <c r="B118" s="2"/>
      <c r="C118" s="2"/>
      <c r="D118" s="2"/>
      <c r="E118" s="2"/>
      <c r="F118" s="102"/>
      <c r="G118" s="4"/>
      <c r="H118" s="25"/>
      <c r="I118" s="4"/>
    </row>
    <row r="119" spans="1:14" x14ac:dyDescent="0.25">
      <c r="A119" s="2"/>
      <c r="B119" s="126" t="s">
        <v>186</v>
      </c>
      <c r="C119" s="127"/>
      <c r="D119" s="127"/>
      <c r="E119" s="127"/>
      <c r="F119" s="140" t="s">
        <v>17</v>
      </c>
      <c r="G119" s="139"/>
      <c r="H119" s="140" t="s">
        <v>18</v>
      </c>
      <c r="I119" s="141"/>
      <c r="M119" s="19"/>
      <c r="N119" s="23"/>
    </row>
    <row r="120" spans="1:14" x14ac:dyDescent="0.25">
      <c r="A120" s="2"/>
      <c r="B120" s="9" t="s">
        <v>19</v>
      </c>
      <c r="C120" s="120"/>
      <c r="D120" s="120"/>
      <c r="E120" s="120"/>
      <c r="F120" s="220">
        <f>F89*F52/$D$176</f>
        <v>178.826895565093</v>
      </c>
      <c r="G120" s="29" t="s">
        <v>54</v>
      </c>
      <c r="H120" s="220">
        <f>H52*H89/$D$176</f>
        <v>357.65379113018599</v>
      </c>
      <c r="I120" s="54" t="s">
        <v>54</v>
      </c>
      <c r="M120" s="19"/>
      <c r="N120" s="23"/>
    </row>
    <row r="121" spans="1:14" x14ac:dyDescent="0.25">
      <c r="A121" s="2"/>
      <c r="B121" s="9" t="s">
        <v>33</v>
      </c>
      <c r="C121" s="2"/>
      <c r="D121" s="2"/>
      <c r="E121" s="2"/>
      <c r="F121" s="221"/>
      <c r="G121" s="29"/>
      <c r="H121" s="221"/>
      <c r="I121" s="54"/>
      <c r="M121" s="19"/>
      <c r="N121" s="23"/>
    </row>
    <row r="122" spans="1:14" x14ac:dyDescent="0.25">
      <c r="A122" s="2"/>
      <c r="B122" s="40" t="s">
        <v>34</v>
      </c>
      <c r="C122" s="2"/>
      <c r="D122" s="2"/>
      <c r="E122" s="2"/>
      <c r="F122" s="221">
        <f>F91*F54</f>
        <v>0</v>
      </c>
      <c r="G122" s="29" t="s">
        <v>54</v>
      </c>
      <c r="H122" s="221">
        <f>H54*H91</f>
        <v>0</v>
      </c>
      <c r="I122" s="54" t="s">
        <v>54</v>
      </c>
      <c r="M122" s="19"/>
      <c r="N122" s="23"/>
    </row>
    <row r="123" spans="1:14" x14ac:dyDescent="0.25">
      <c r="A123" s="2"/>
      <c r="B123" s="40" t="s">
        <v>38</v>
      </c>
      <c r="C123" s="2"/>
      <c r="D123" s="2"/>
      <c r="E123" s="2"/>
      <c r="F123" s="221">
        <f>F92*F55</f>
        <v>0</v>
      </c>
      <c r="G123" s="29" t="s">
        <v>54</v>
      </c>
      <c r="H123" s="221">
        <f>H55*H92</f>
        <v>10</v>
      </c>
      <c r="I123" s="54" t="s">
        <v>54</v>
      </c>
      <c r="M123" s="19"/>
      <c r="N123" s="23"/>
    </row>
    <row r="124" spans="1:14" x14ac:dyDescent="0.25">
      <c r="A124" s="2"/>
      <c r="B124" s="40" t="s">
        <v>35</v>
      </c>
      <c r="C124" s="2"/>
      <c r="D124" s="2"/>
      <c r="E124" s="2"/>
      <c r="F124" s="221">
        <f>F93*F56</f>
        <v>0</v>
      </c>
      <c r="G124" s="29" t="s">
        <v>54</v>
      </c>
      <c r="H124" s="221">
        <f>H56*H93</f>
        <v>120</v>
      </c>
      <c r="I124" s="54" t="s">
        <v>54</v>
      </c>
      <c r="M124" s="19"/>
      <c r="N124" s="23"/>
    </row>
    <row r="125" spans="1:14" x14ac:dyDescent="0.25">
      <c r="A125" s="2"/>
      <c r="B125" s="40" t="s">
        <v>36</v>
      </c>
      <c r="C125" s="2"/>
      <c r="D125" s="2"/>
      <c r="E125" s="2"/>
      <c r="F125" s="221">
        <f>F94*F57</f>
        <v>0</v>
      </c>
      <c r="G125" s="29" t="s">
        <v>54</v>
      </c>
      <c r="H125" s="221">
        <f>H57*H94</f>
        <v>50</v>
      </c>
      <c r="I125" s="54" t="s">
        <v>54</v>
      </c>
      <c r="M125" s="19"/>
      <c r="N125" s="23"/>
    </row>
    <row r="126" spans="1:14" x14ac:dyDescent="0.25">
      <c r="A126" s="2"/>
      <c r="B126" s="240" t="s">
        <v>165</v>
      </c>
      <c r="C126" s="2"/>
      <c r="D126" s="2"/>
      <c r="E126" s="2"/>
      <c r="F126" s="221"/>
      <c r="G126" s="29"/>
      <c r="H126" s="221"/>
      <c r="I126" s="54"/>
      <c r="M126" s="19"/>
      <c r="N126" s="23"/>
    </row>
    <row r="127" spans="1:14" x14ac:dyDescent="0.25">
      <c r="A127" s="2"/>
      <c r="B127" s="40" t="s">
        <v>163</v>
      </c>
      <c r="C127" s="2"/>
      <c r="D127" s="2"/>
      <c r="E127" s="2"/>
      <c r="F127" s="221">
        <f>F59*F96/$D$176</f>
        <v>71.530758226037207</v>
      </c>
      <c r="G127" s="29" t="s">
        <v>54</v>
      </c>
      <c r="H127" s="221">
        <f>H59*H96/$D$176</f>
        <v>143.06151645207441</v>
      </c>
      <c r="I127" s="54" t="s">
        <v>54</v>
      </c>
      <c r="M127" s="19"/>
      <c r="N127" s="23"/>
    </row>
    <row r="128" spans="1:14" x14ac:dyDescent="0.25">
      <c r="A128" s="2"/>
      <c r="B128" s="40" t="s">
        <v>162</v>
      </c>
      <c r="C128" s="2"/>
      <c r="D128" s="2"/>
      <c r="E128" s="2"/>
      <c r="F128" s="221">
        <f>F60*F97/$D$176</f>
        <v>71.530758226037207</v>
      </c>
      <c r="G128" s="29" t="s">
        <v>54</v>
      </c>
      <c r="H128" s="221">
        <f>H60*H97/$D$176</f>
        <v>143.06151645207441</v>
      </c>
      <c r="I128" s="54" t="s">
        <v>54</v>
      </c>
      <c r="M128" s="19"/>
      <c r="N128" s="23"/>
    </row>
    <row r="129" spans="1:14" x14ac:dyDescent="0.25">
      <c r="A129" s="2"/>
      <c r="B129" s="40" t="s">
        <v>164</v>
      </c>
      <c r="C129" s="2"/>
      <c r="D129" s="2"/>
      <c r="E129" s="2"/>
      <c r="F129" s="221">
        <f>F61*F98/$D$176</f>
        <v>71.530758226037207</v>
      </c>
      <c r="G129" s="29" t="s">
        <v>54</v>
      </c>
      <c r="H129" s="221">
        <f>H61*H98/$D$176</f>
        <v>71.530758226037207</v>
      </c>
      <c r="I129" s="54" t="s">
        <v>54</v>
      </c>
      <c r="M129" s="19"/>
      <c r="N129" s="23"/>
    </row>
    <row r="130" spans="1:14" x14ac:dyDescent="0.25">
      <c r="A130" s="2"/>
      <c r="B130" s="9" t="s">
        <v>0</v>
      </c>
      <c r="C130" s="4"/>
      <c r="D130" s="4"/>
      <c r="E130" s="4"/>
      <c r="F130" s="221"/>
      <c r="G130" s="29"/>
      <c r="H130" s="221"/>
      <c r="I130" s="54"/>
      <c r="M130" s="19"/>
      <c r="N130" s="23"/>
    </row>
    <row r="131" spans="1:14" x14ac:dyDescent="0.25">
      <c r="A131" s="2"/>
      <c r="B131" s="40" t="s">
        <v>142</v>
      </c>
      <c r="C131" s="4"/>
      <c r="D131" s="4"/>
      <c r="E131" s="4"/>
      <c r="F131" s="221">
        <f>F100*F63/$D$176</f>
        <v>2324.7496423462089</v>
      </c>
      <c r="G131" s="29" t="s">
        <v>54</v>
      </c>
      <c r="H131" s="221">
        <f>H63*H100/$D$176</f>
        <v>4649.4992846924179</v>
      </c>
      <c r="I131" s="54" t="s">
        <v>54</v>
      </c>
      <c r="M131" s="19"/>
      <c r="N131" s="23"/>
    </row>
    <row r="132" spans="1:14" x14ac:dyDescent="0.25">
      <c r="A132" s="2"/>
      <c r="B132" s="40" t="s">
        <v>143</v>
      </c>
      <c r="C132" s="2"/>
      <c r="D132" s="2"/>
      <c r="E132" s="2"/>
      <c r="F132" s="221">
        <f>F101*F64/$D$176</f>
        <v>0</v>
      </c>
      <c r="G132" s="29" t="s">
        <v>54</v>
      </c>
      <c r="H132" s="221">
        <f>H64*H101/$D$176</f>
        <v>0</v>
      </c>
      <c r="I132" s="54" t="s">
        <v>54</v>
      </c>
      <c r="M132" s="19"/>
      <c r="N132" s="23"/>
    </row>
    <row r="133" spans="1:14" x14ac:dyDescent="0.25">
      <c r="A133" s="2"/>
      <c r="B133" s="40" t="s">
        <v>144</v>
      </c>
      <c r="C133" s="2"/>
      <c r="D133" s="2"/>
      <c r="E133" s="2"/>
      <c r="F133" s="221">
        <f>F102*F65/$D$176</f>
        <v>371.95994277539342</v>
      </c>
      <c r="G133" s="29" t="s">
        <v>54</v>
      </c>
      <c r="H133" s="221">
        <f>H65*H102/$D$176</f>
        <v>371.95994277539342</v>
      </c>
      <c r="I133" s="54" t="s">
        <v>54</v>
      </c>
      <c r="M133" s="19"/>
      <c r="N133" s="23"/>
    </row>
    <row r="134" spans="1:14" x14ac:dyDescent="0.25">
      <c r="A134" s="2"/>
      <c r="B134" s="40" t="s">
        <v>145</v>
      </c>
      <c r="C134" s="2"/>
      <c r="D134" s="2"/>
      <c r="E134" s="2"/>
      <c r="F134" s="221">
        <f>F103*F66/$D$176</f>
        <v>0</v>
      </c>
      <c r="G134" s="29" t="s">
        <v>54</v>
      </c>
      <c r="H134" s="221">
        <f>H66*H103/$D$176</f>
        <v>85.836909871244643</v>
      </c>
      <c r="I134" s="54" t="s">
        <v>54</v>
      </c>
      <c r="M134" s="19"/>
      <c r="N134" s="23"/>
    </row>
    <row r="135" spans="1:14" x14ac:dyDescent="0.25">
      <c r="A135" s="2"/>
      <c r="B135" s="9" t="s">
        <v>28</v>
      </c>
      <c r="C135" s="2"/>
      <c r="D135" s="2"/>
      <c r="E135" s="2"/>
      <c r="F135" s="221">
        <f>F104*F67</f>
        <v>0</v>
      </c>
      <c r="G135" s="29" t="s">
        <v>54</v>
      </c>
      <c r="H135" s="221">
        <f>H67*H104</f>
        <v>0</v>
      </c>
      <c r="I135" s="54" t="s">
        <v>54</v>
      </c>
      <c r="M135" s="19"/>
      <c r="N135" s="23"/>
    </row>
    <row r="136" spans="1:14" x14ac:dyDescent="0.25">
      <c r="A136" s="2"/>
      <c r="B136" s="9" t="s">
        <v>146</v>
      </c>
      <c r="C136" s="2"/>
      <c r="D136" s="2"/>
      <c r="E136" s="2"/>
      <c r="F136" s="221">
        <f>F105*F68/$D$176</f>
        <v>0</v>
      </c>
      <c r="G136" s="29" t="s">
        <v>54</v>
      </c>
      <c r="H136" s="221">
        <f>H68*H105/$D$176</f>
        <v>35.765379113018604</v>
      </c>
      <c r="I136" s="54" t="s">
        <v>54</v>
      </c>
      <c r="M136" s="19"/>
      <c r="N136" s="23"/>
    </row>
    <row r="137" spans="1:14" x14ac:dyDescent="0.25">
      <c r="A137" s="2"/>
      <c r="B137" s="9" t="s">
        <v>4</v>
      </c>
      <c r="C137" s="2"/>
      <c r="D137" s="2"/>
      <c r="E137" s="2"/>
      <c r="F137" s="221">
        <f>F106*F69/$D$176</f>
        <v>0</v>
      </c>
      <c r="G137" s="29" t="s">
        <v>54</v>
      </c>
      <c r="H137" s="221">
        <f>H69*H106/$D$176</f>
        <v>0</v>
      </c>
      <c r="I137" s="54" t="s">
        <v>54</v>
      </c>
      <c r="M137" s="19"/>
      <c r="N137" s="23"/>
    </row>
    <row r="138" spans="1:14" x14ac:dyDescent="0.25">
      <c r="A138" s="2"/>
      <c r="B138" s="9" t="s">
        <v>20</v>
      </c>
      <c r="C138" s="2"/>
      <c r="D138" s="2"/>
      <c r="E138" s="2"/>
      <c r="F138" s="221">
        <f>F107*F70*D171</f>
        <v>1171.5</v>
      </c>
      <c r="G138" s="29" t="s">
        <v>54</v>
      </c>
      <c r="H138" s="221">
        <f>H70*H107*D171</f>
        <v>1171.5</v>
      </c>
      <c r="I138" s="54" t="s">
        <v>54</v>
      </c>
      <c r="M138" s="19"/>
      <c r="N138" s="23"/>
    </row>
    <row r="139" spans="1:14" x14ac:dyDescent="0.25">
      <c r="A139" s="2"/>
      <c r="B139" s="9" t="s">
        <v>26</v>
      </c>
      <c r="C139" s="2"/>
      <c r="D139" s="2"/>
      <c r="E139" s="2"/>
      <c r="F139" s="221">
        <f>F71*F108*H12</f>
        <v>83.52</v>
      </c>
      <c r="G139" s="29" t="s">
        <v>54</v>
      </c>
      <c r="H139" s="221">
        <f>H71*H108*H12</f>
        <v>83.52</v>
      </c>
      <c r="I139" s="54" t="s">
        <v>54</v>
      </c>
      <c r="M139" s="19"/>
      <c r="N139" s="23"/>
    </row>
    <row r="140" spans="1:14" x14ac:dyDescent="0.25">
      <c r="A140" s="2"/>
      <c r="B140" s="9" t="s">
        <v>29</v>
      </c>
      <c r="C140" s="2"/>
      <c r="D140" s="2"/>
      <c r="E140" s="2"/>
      <c r="F140" s="99"/>
      <c r="G140" s="29"/>
      <c r="H140" s="61"/>
      <c r="I140" s="54"/>
      <c r="M140" s="19"/>
      <c r="N140" s="24"/>
    </row>
    <row r="141" spans="1:14" x14ac:dyDescent="0.25">
      <c r="A141" s="2"/>
      <c r="B141" s="40" t="s">
        <v>130</v>
      </c>
      <c r="C141" s="2"/>
      <c r="D141" s="2"/>
      <c r="E141" s="2"/>
      <c r="F141" s="99">
        <f t="shared" ref="F141:F146" si="1">F73*$F$109/$D$176</f>
        <v>286.12303290414883</v>
      </c>
      <c r="G141" s="29" t="s">
        <v>54</v>
      </c>
      <c r="H141" s="61">
        <f t="shared" ref="H141:H146" si="2">H73*$H$109/$D$176</f>
        <v>572.24606580829766</v>
      </c>
      <c r="I141" s="54" t="s">
        <v>54</v>
      </c>
      <c r="M141" s="19"/>
      <c r="N141" s="24"/>
    </row>
    <row r="142" spans="1:14" x14ac:dyDescent="0.25">
      <c r="A142" s="2"/>
      <c r="B142" s="40" t="s">
        <v>24</v>
      </c>
      <c r="C142" s="2"/>
      <c r="D142" s="2"/>
      <c r="E142" s="2"/>
      <c r="F142" s="99">
        <f t="shared" si="1"/>
        <v>858.36909871244643</v>
      </c>
      <c r="G142" s="29" t="s">
        <v>54</v>
      </c>
      <c r="H142" s="61">
        <f t="shared" si="2"/>
        <v>1001.4306151645208</v>
      </c>
      <c r="I142" s="54" t="s">
        <v>54</v>
      </c>
      <c r="M142" s="19"/>
      <c r="N142" s="24"/>
    </row>
    <row r="143" spans="1:14" x14ac:dyDescent="0.25">
      <c r="A143" s="2"/>
      <c r="B143" s="40" t="s">
        <v>134</v>
      </c>
      <c r="C143" s="2"/>
      <c r="D143" s="2"/>
      <c r="E143" s="2"/>
      <c r="F143" s="99">
        <f t="shared" si="1"/>
        <v>14.306151645207439</v>
      </c>
      <c r="G143" s="29" t="s">
        <v>54</v>
      </c>
      <c r="H143" s="61">
        <f t="shared" si="2"/>
        <v>14.306151645207439</v>
      </c>
      <c r="I143" s="54" t="s">
        <v>54</v>
      </c>
      <c r="M143" s="19"/>
      <c r="N143" s="24"/>
    </row>
    <row r="144" spans="1:14" x14ac:dyDescent="0.25">
      <c r="A144" s="2"/>
      <c r="B144" s="40" t="s">
        <v>132</v>
      </c>
      <c r="C144" s="2"/>
      <c r="D144" s="2"/>
      <c r="E144" s="2"/>
      <c r="F144" s="99">
        <f t="shared" si="1"/>
        <v>0</v>
      </c>
      <c r="G144" s="29" t="s">
        <v>54</v>
      </c>
      <c r="H144" s="61">
        <f t="shared" si="2"/>
        <v>71.530758226037207</v>
      </c>
      <c r="I144" s="54" t="s">
        <v>54</v>
      </c>
      <c r="M144" s="19"/>
      <c r="N144" s="24"/>
    </row>
    <row r="145" spans="1:14" x14ac:dyDescent="0.25">
      <c r="A145" s="2"/>
      <c r="B145" s="40" t="s">
        <v>136</v>
      </c>
      <c r="C145" s="2"/>
      <c r="D145" s="2"/>
      <c r="E145" s="2"/>
      <c r="F145" s="99">
        <f t="shared" si="1"/>
        <v>286.12303290414883</v>
      </c>
      <c r="G145" s="29" t="s">
        <v>54</v>
      </c>
      <c r="H145" s="61">
        <f t="shared" si="2"/>
        <v>286.12303290414883</v>
      </c>
      <c r="I145" s="54" t="s">
        <v>54</v>
      </c>
      <c r="M145" s="19"/>
      <c r="N145" s="24"/>
    </row>
    <row r="146" spans="1:14" x14ac:dyDescent="0.25">
      <c r="A146" s="2"/>
      <c r="B146" s="40" t="s">
        <v>25</v>
      </c>
      <c r="C146" s="2"/>
      <c r="D146" s="2"/>
      <c r="E146" s="2"/>
      <c r="F146" s="99">
        <f t="shared" si="1"/>
        <v>0</v>
      </c>
      <c r="G146" s="29" t="s">
        <v>54</v>
      </c>
      <c r="H146" s="61">
        <f t="shared" si="2"/>
        <v>572.24606580829766</v>
      </c>
      <c r="I146" s="54" t="s">
        <v>54</v>
      </c>
      <c r="M146" s="19"/>
      <c r="N146" s="24"/>
    </row>
    <row r="147" spans="1:14" x14ac:dyDescent="0.25">
      <c r="A147" s="2"/>
      <c r="B147" s="40" t="s">
        <v>131</v>
      </c>
      <c r="C147" s="2"/>
      <c r="D147" s="2"/>
      <c r="E147" s="2"/>
      <c r="F147" s="99">
        <f>F79*F110/$D$176</f>
        <v>464.9499284692418</v>
      </c>
      <c r="G147" s="29" t="s">
        <v>54</v>
      </c>
      <c r="H147" s="61">
        <f>H79*H110/$D$176</f>
        <v>697.42489270386272</v>
      </c>
      <c r="I147" s="54" t="s">
        <v>54</v>
      </c>
      <c r="M147" s="19"/>
      <c r="N147" s="24"/>
    </row>
    <row r="148" spans="1:14" x14ac:dyDescent="0.25">
      <c r="A148" s="2"/>
      <c r="B148" s="40" t="s">
        <v>133</v>
      </c>
      <c r="C148" s="2"/>
      <c r="D148" s="2"/>
      <c r="E148" s="2"/>
      <c r="F148" s="99">
        <f>F80*F111/$D$176</f>
        <v>3090.1287553648071</v>
      </c>
      <c r="G148" s="29" t="s">
        <v>54</v>
      </c>
      <c r="H148" s="61">
        <f>H80*H111/$D$176</f>
        <v>5150.2145922746786</v>
      </c>
      <c r="I148" s="54" t="s">
        <v>54</v>
      </c>
      <c r="M148" s="19"/>
      <c r="N148" s="24"/>
    </row>
    <row r="149" spans="1:14" x14ac:dyDescent="0.25">
      <c r="A149" s="2"/>
      <c r="B149" s="40" t="s">
        <v>129</v>
      </c>
      <c r="C149" s="2"/>
      <c r="D149" s="2"/>
      <c r="E149" s="2"/>
      <c r="F149" s="99">
        <f>F81*F112/$D$176</f>
        <v>915.59370529327612</v>
      </c>
      <c r="G149" s="29" t="s">
        <v>54</v>
      </c>
      <c r="H149" s="61">
        <f>H81*H112/$D$176</f>
        <v>915.59370529327612</v>
      </c>
      <c r="I149" s="54" t="s">
        <v>54</v>
      </c>
      <c r="M149" s="19"/>
      <c r="N149" s="24"/>
    </row>
    <row r="150" spans="1:14" x14ac:dyDescent="0.25">
      <c r="A150" s="2"/>
      <c r="B150" s="9" t="s">
        <v>30</v>
      </c>
      <c r="C150" s="2"/>
      <c r="D150" s="2"/>
      <c r="E150" s="2"/>
      <c r="F150" s="99">
        <f>F82*F109/D176</f>
        <v>0</v>
      </c>
      <c r="G150" s="29" t="s">
        <v>54</v>
      </c>
      <c r="H150" s="61">
        <f>H82*H109/D176</f>
        <v>0</v>
      </c>
      <c r="I150" s="54" t="s">
        <v>54</v>
      </c>
      <c r="M150" s="19"/>
      <c r="N150" s="24"/>
    </row>
    <row r="151" spans="1:14" x14ac:dyDescent="0.25">
      <c r="A151" s="2"/>
      <c r="B151" s="9" t="s">
        <v>147</v>
      </c>
      <c r="C151" s="2"/>
      <c r="D151" s="2"/>
      <c r="E151" s="2"/>
      <c r="F151" s="99">
        <f>F83*F113/D176</f>
        <v>600.8583690987125</v>
      </c>
      <c r="G151" s="29" t="s">
        <v>54</v>
      </c>
      <c r="H151" s="61">
        <f>H83*H113/D176</f>
        <v>1001.4306151645208</v>
      </c>
      <c r="I151" s="54" t="s">
        <v>54</v>
      </c>
      <c r="M151" s="19"/>
      <c r="N151" s="24"/>
    </row>
    <row r="152" spans="1:14" x14ac:dyDescent="0.25">
      <c r="A152" s="2"/>
      <c r="B152" s="41" t="s">
        <v>27</v>
      </c>
      <c r="C152" s="4"/>
      <c r="D152" s="2"/>
      <c r="E152" s="2"/>
      <c r="F152" s="99">
        <f>F84*F114</f>
        <v>27</v>
      </c>
      <c r="G152" s="29" t="s">
        <v>54</v>
      </c>
      <c r="H152" s="61">
        <f>H84*H114</f>
        <v>27</v>
      </c>
      <c r="I152" s="54" t="s">
        <v>54</v>
      </c>
      <c r="M152" s="19"/>
      <c r="N152" s="24"/>
    </row>
    <row r="153" spans="1:14" x14ac:dyDescent="0.25">
      <c r="A153" s="2"/>
      <c r="B153" s="9" t="s">
        <v>22</v>
      </c>
      <c r="C153" s="2"/>
      <c r="D153" s="2"/>
      <c r="E153" s="2"/>
      <c r="F153" s="99">
        <f>F85*F115</f>
        <v>0</v>
      </c>
      <c r="G153" s="29" t="s">
        <v>54</v>
      </c>
      <c r="H153" s="61">
        <f>H85*H115</f>
        <v>500</v>
      </c>
      <c r="I153" s="54" t="s">
        <v>54</v>
      </c>
      <c r="M153" s="19"/>
      <c r="N153" s="24"/>
    </row>
    <row r="154" spans="1:14" x14ac:dyDescent="0.25">
      <c r="A154" s="2"/>
      <c r="B154" s="9" t="s">
        <v>21</v>
      </c>
      <c r="C154" s="2"/>
      <c r="D154" s="2"/>
      <c r="E154" s="2"/>
      <c r="F154" s="99">
        <f>F86*F116</f>
        <v>0</v>
      </c>
      <c r="G154" s="29" t="s">
        <v>54</v>
      </c>
      <c r="H154" s="61">
        <f>H86*H116</f>
        <v>0</v>
      </c>
      <c r="I154" s="54" t="s">
        <v>54</v>
      </c>
      <c r="M154" s="19"/>
      <c r="N154" s="24"/>
    </row>
    <row r="155" spans="1:14" x14ac:dyDescent="0.25">
      <c r="A155" s="2"/>
      <c r="B155" s="9" t="s">
        <v>49</v>
      </c>
      <c r="C155" s="2"/>
      <c r="D155" s="2"/>
      <c r="E155" s="2"/>
      <c r="F155" s="99">
        <f>F117/D176</f>
        <v>1645.2074391988556</v>
      </c>
      <c r="G155" s="29" t="s">
        <v>54</v>
      </c>
      <c r="H155" s="61">
        <f>H117/D176</f>
        <v>1645.2074391988556</v>
      </c>
      <c r="I155" s="54" t="s">
        <v>54</v>
      </c>
      <c r="M155" s="19"/>
      <c r="N155" s="24"/>
    </row>
    <row r="156" spans="1:14" x14ac:dyDescent="0.25">
      <c r="A156" s="2"/>
      <c r="B156" s="9"/>
      <c r="C156" s="2"/>
      <c r="D156" s="2"/>
      <c r="E156" s="2"/>
      <c r="F156" s="99"/>
      <c r="G156" s="29"/>
      <c r="H156" s="61"/>
      <c r="I156" s="54"/>
      <c r="M156" s="19"/>
      <c r="N156" s="24"/>
    </row>
    <row r="157" spans="1:14" s="1" customFormat="1" x14ac:dyDescent="0.25">
      <c r="A157" s="5"/>
      <c r="B157" s="32" t="s">
        <v>154</v>
      </c>
      <c r="C157" s="5"/>
      <c r="D157" s="5"/>
      <c r="E157" s="5"/>
      <c r="F157" s="103">
        <f>SUM(F141:F151)-F147-F146</f>
        <v>6051.5021459227464</v>
      </c>
      <c r="G157" s="65" t="s">
        <v>54</v>
      </c>
      <c r="H157" s="68">
        <f>SUM(H141:H151)-H147-H146</f>
        <v>9012.8755364806875</v>
      </c>
      <c r="I157" s="66" t="s">
        <v>54</v>
      </c>
      <c r="M157" s="21"/>
      <c r="N157" s="67"/>
    </row>
    <row r="158" spans="1:14" s="1" customFormat="1" x14ac:dyDescent="0.25">
      <c r="A158" s="5"/>
      <c r="B158" s="47" t="s">
        <v>56</v>
      </c>
      <c r="C158" s="5"/>
      <c r="D158" s="5"/>
      <c r="E158" s="5"/>
      <c r="F158" s="103">
        <f>SUM(F131:F139,F152:F155)-F137-F138-F131-F132</f>
        <v>2127.6873819742486</v>
      </c>
      <c r="G158" s="65" t="s">
        <v>54</v>
      </c>
      <c r="H158" s="68">
        <f>SUM(H131:H139,H152:H155)-H137-H138-H131-H132</f>
        <v>2749.2896709585129</v>
      </c>
      <c r="I158" s="66" t="s">
        <v>54</v>
      </c>
      <c r="M158" s="21"/>
      <c r="N158" s="67"/>
    </row>
    <row r="159" spans="1:14" s="1" customFormat="1" x14ac:dyDescent="0.25">
      <c r="A159" s="5"/>
      <c r="B159" s="47"/>
      <c r="C159" s="5"/>
      <c r="D159" s="5"/>
      <c r="E159" s="5"/>
      <c r="F159" s="103"/>
      <c r="G159" s="65"/>
      <c r="H159" s="68"/>
      <c r="I159" s="66"/>
      <c r="M159" s="21"/>
      <c r="N159" s="67"/>
    </row>
    <row r="160" spans="1:14" s="1" customFormat="1" x14ac:dyDescent="0.25">
      <c r="A160" s="5"/>
      <c r="B160" s="32" t="s">
        <v>155</v>
      </c>
      <c r="C160" s="5"/>
      <c r="D160" s="5"/>
      <c r="E160" s="5"/>
      <c r="F160" s="103">
        <f>SUM(F141:F151)-F146</f>
        <v>6516.4520743919884</v>
      </c>
      <c r="G160" s="65" t="s">
        <v>54</v>
      </c>
      <c r="H160" s="64">
        <f>SUM(H141:H151)-H146</f>
        <v>9710.30042918455</v>
      </c>
      <c r="I160" s="66" t="s">
        <v>54</v>
      </c>
      <c r="M160" s="21"/>
      <c r="N160" s="67"/>
    </row>
    <row r="161" spans="1:14" s="1" customFormat="1" x14ac:dyDescent="0.25">
      <c r="A161" s="5"/>
      <c r="B161" s="32" t="s">
        <v>119</v>
      </c>
      <c r="C161" s="5"/>
      <c r="D161" s="5"/>
      <c r="E161" s="5"/>
      <c r="F161" s="103">
        <f>SUM(F152:F155,F131:F139)-F138-F153</f>
        <v>4452.4370243204585</v>
      </c>
      <c r="G161" s="65" t="s">
        <v>54</v>
      </c>
      <c r="H161" s="68">
        <f>SUM(H152:H155,H131:H139)-H138-H153</f>
        <v>6898.7889556509308</v>
      </c>
      <c r="I161" s="66" t="s">
        <v>54</v>
      </c>
      <c r="M161" s="21"/>
      <c r="N161" s="67"/>
    </row>
    <row r="162" spans="1:14" s="1" customFormat="1" x14ac:dyDescent="0.25">
      <c r="A162" s="5"/>
      <c r="B162" s="32"/>
      <c r="C162" s="5"/>
      <c r="D162" s="5"/>
      <c r="E162" s="5"/>
      <c r="F162" s="103"/>
      <c r="G162" s="65"/>
      <c r="H162" s="68"/>
      <c r="I162" s="66"/>
      <c r="M162" s="21"/>
      <c r="N162" s="67"/>
    </row>
    <row r="163" spans="1:14" s="1" customFormat="1" x14ac:dyDescent="0.25">
      <c r="A163" s="5"/>
      <c r="B163" s="32" t="s">
        <v>256</v>
      </c>
      <c r="C163" s="5"/>
      <c r="D163" s="5"/>
      <c r="E163" s="5"/>
      <c r="F163" s="103">
        <f>F146+SUM(F127:F129)</f>
        <v>214.59227467811161</v>
      </c>
      <c r="G163" s="65" t="s">
        <v>54</v>
      </c>
      <c r="H163" s="68">
        <f>H146+SUM(H127:H129)</f>
        <v>929.89985693848371</v>
      </c>
      <c r="I163" s="66" t="s">
        <v>54</v>
      </c>
      <c r="M163" s="21"/>
      <c r="N163" s="67"/>
    </row>
    <row r="164" spans="1:14" s="1" customFormat="1" x14ac:dyDescent="0.25">
      <c r="A164" s="5"/>
      <c r="B164" s="32" t="s">
        <v>257</v>
      </c>
      <c r="C164" s="5"/>
      <c r="D164" s="5"/>
      <c r="E164" s="5"/>
      <c r="F164" s="103">
        <f>SUM(F120:F125)</f>
        <v>178.826895565093</v>
      </c>
      <c r="G164" s="65" t="s">
        <v>54</v>
      </c>
      <c r="H164" s="68">
        <f>SUM(H120:H125)</f>
        <v>537.65379113018594</v>
      </c>
      <c r="I164" s="66" t="s">
        <v>54</v>
      </c>
      <c r="M164" s="21"/>
      <c r="N164" s="67"/>
    </row>
    <row r="165" spans="1:14" ht="15.75" thickBot="1" x14ac:dyDescent="0.3">
      <c r="A165" s="2"/>
      <c r="B165" s="16"/>
      <c r="C165" s="12"/>
      <c r="D165" s="12"/>
      <c r="E165" s="12"/>
      <c r="F165" s="193"/>
      <c r="G165" s="46"/>
      <c r="H165" s="192"/>
      <c r="I165" s="57"/>
      <c r="M165" s="19"/>
      <c r="N165" s="24"/>
    </row>
    <row r="166" spans="1:14" ht="15.75" thickBot="1" x14ac:dyDescent="0.3">
      <c r="A166" s="2"/>
      <c r="B166" s="12"/>
      <c r="C166" s="2"/>
      <c r="D166" s="2"/>
      <c r="E166" s="2"/>
      <c r="F166" s="102"/>
      <c r="G166" s="4"/>
      <c r="H166" s="25"/>
      <c r="I166" s="4"/>
    </row>
    <row r="167" spans="1:14" x14ac:dyDescent="0.25">
      <c r="A167" s="2"/>
      <c r="B167" s="126" t="s">
        <v>187</v>
      </c>
      <c r="C167" s="127"/>
      <c r="D167" s="127"/>
      <c r="E167" s="127"/>
      <c r="F167" s="256"/>
      <c r="G167" s="4"/>
      <c r="J167" s="2"/>
    </row>
    <row r="168" spans="1:14" x14ac:dyDescent="0.25">
      <c r="A168" s="2"/>
      <c r="B168" s="10" t="s">
        <v>16</v>
      </c>
      <c r="C168" s="2"/>
      <c r="D168" s="104">
        <v>0.12</v>
      </c>
      <c r="E168" s="2"/>
      <c r="F168" s="10"/>
      <c r="G168" s="4"/>
      <c r="J168" s="2"/>
    </row>
    <row r="169" spans="1:14" x14ac:dyDescent="0.25">
      <c r="A169" s="2"/>
      <c r="B169" s="10" t="s">
        <v>40</v>
      </c>
      <c r="C169" s="2"/>
      <c r="D169" s="104">
        <v>0.04</v>
      </c>
      <c r="E169" s="2"/>
      <c r="F169" s="10"/>
      <c r="G169" s="4"/>
      <c r="J169" s="2"/>
    </row>
    <row r="170" spans="1:14" x14ac:dyDescent="0.25">
      <c r="A170" s="2"/>
      <c r="B170" s="10" t="s">
        <v>42</v>
      </c>
      <c r="C170" s="2"/>
      <c r="D170" s="104">
        <v>0.02</v>
      </c>
      <c r="E170" s="2"/>
      <c r="F170" s="10"/>
      <c r="G170" s="4"/>
      <c r="J170" s="2"/>
    </row>
    <row r="171" spans="1:14" x14ac:dyDescent="0.25">
      <c r="A171" s="2"/>
      <c r="B171" s="9" t="s">
        <v>7</v>
      </c>
      <c r="C171" s="2"/>
      <c r="D171" s="102">
        <v>7.81</v>
      </c>
      <c r="E171" s="4" t="s">
        <v>37</v>
      </c>
      <c r="F171" s="10"/>
      <c r="G171" s="4"/>
      <c r="J171" s="2"/>
    </row>
    <row r="172" spans="1:14" x14ac:dyDescent="0.25">
      <c r="A172" s="2"/>
      <c r="B172" s="10" t="s">
        <v>178</v>
      </c>
      <c r="C172" s="2"/>
      <c r="D172" s="257">
        <v>8.1900000000000001E-2</v>
      </c>
      <c r="E172" s="2"/>
      <c r="F172" s="10"/>
      <c r="G172" s="4"/>
      <c r="J172" s="2"/>
    </row>
    <row r="173" spans="1:14" x14ac:dyDescent="0.25">
      <c r="A173" s="2"/>
      <c r="B173" s="10" t="s">
        <v>179</v>
      </c>
      <c r="C173" s="2"/>
      <c r="D173" s="102">
        <f>1+D172</f>
        <v>1.0819000000000001</v>
      </c>
      <c r="E173" s="2"/>
      <c r="F173" s="10"/>
      <c r="G173" s="4"/>
      <c r="J173" s="2"/>
    </row>
    <row r="174" spans="1:14" x14ac:dyDescent="0.25">
      <c r="A174" s="2"/>
      <c r="B174" s="10" t="s">
        <v>180</v>
      </c>
      <c r="C174" s="2"/>
      <c r="D174" s="258">
        <v>0.75</v>
      </c>
      <c r="F174" s="10"/>
      <c r="G174" s="4"/>
      <c r="J174" s="2"/>
    </row>
    <row r="175" spans="1:14" x14ac:dyDescent="0.25">
      <c r="A175" s="2"/>
      <c r="B175" s="10"/>
      <c r="C175" s="2"/>
      <c r="D175" s="2"/>
      <c r="E175" s="15"/>
      <c r="F175" s="104"/>
      <c r="G175" s="4"/>
      <c r="J175" s="2"/>
    </row>
    <row r="176" spans="1:14" x14ac:dyDescent="0.25">
      <c r="A176" s="2"/>
      <c r="B176" s="9" t="s">
        <v>188</v>
      </c>
      <c r="C176" s="2"/>
      <c r="D176" s="102">
        <v>0.69899999999999995</v>
      </c>
      <c r="E176" s="2"/>
      <c r="F176" s="10"/>
      <c r="G176" s="4"/>
    </row>
    <row r="177" spans="1:26" x14ac:dyDescent="0.25">
      <c r="A177" s="2"/>
      <c r="B177" s="9" t="s">
        <v>190</v>
      </c>
      <c r="C177" s="2"/>
      <c r="D177" s="185">
        <v>220</v>
      </c>
      <c r="E177" s="2"/>
      <c r="F177" s="10"/>
      <c r="G177" s="4"/>
    </row>
    <row r="178" spans="1:26" ht="15.75" thickBot="1" x14ac:dyDescent="0.3">
      <c r="A178" s="2"/>
      <c r="B178" s="16" t="s">
        <v>189</v>
      </c>
      <c r="C178" s="12"/>
      <c r="D178" s="105">
        <v>8.57</v>
      </c>
      <c r="E178" s="12"/>
      <c r="F178" s="10"/>
      <c r="G178" s="4"/>
    </row>
    <row r="179" spans="1:26" ht="15.75" thickBot="1" x14ac:dyDescent="0.3">
      <c r="A179" s="1"/>
      <c r="B179" s="6"/>
      <c r="C179" s="5"/>
      <c r="D179" s="5"/>
      <c r="E179" s="5"/>
      <c r="F179" s="2"/>
      <c r="G179" s="2"/>
      <c r="H179" s="2"/>
      <c r="I179" s="2"/>
      <c r="J179" s="2"/>
    </row>
    <row r="180" spans="1:26" ht="15.75" thickBot="1" x14ac:dyDescent="0.3">
      <c r="A180" s="2"/>
      <c r="B180" s="128" t="s">
        <v>191</v>
      </c>
      <c r="C180" s="129"/>
      <c r="D180" s="129"/>
      <c r="E180" s="129"/>
      <c r="F180" s="129"/>
      <c r="G180" s="129"/>
      <c r="H180" s="129"/>
      <c r="I180" s="129"/>
      <c r="J180" s="130"/>
      <c r="K180" s="2"/>
      <c r="L180" s="4"/>
      <c r="M180" s="4"/>
      <c r="N180" s="4"/>
      <c r="O180" s="17"/>
      <c r="P180" s="17"/>
      <c r="Q180" s="113"/>
      <c r="R180" s="113"/>
      <c r="S180" s="113"/>
    </row>
    <row r="181" spans="1:26" x14ac:dyDescent="0.25">
      <c r="A181" s="2"/>
      <c r="B181" s="47"/>
      <c r="C181" s="4"/>
      <c r="D181" s="4"/>
      <c r="E181" s="4"/>
      <c r="F181" s="4"/>
      <c r="G181" s="4"/>
      <c r="H181" s="4"/>
      <c r="I181" s="4"/>
      <c r="J181" s="54"/>
      <c r="K181" s="2"/>
      <c r="L181" s="4"/>
      <c r="M181" s="4"/>
      <c r="N181" s="4"/>
      <c r="O181" s="17"/>
      <c r="P181" s="17"/>
      <c r="Q181" s="113"/>
      <c r="R181" s="113"/>
      <c r="S181" s="113"/>
    </row>
    <row r="182" spans="1:26" x14ac:dyDescent="0.25">
      <c r="A182" s="2"/>
      <c r="B182" s="131"/>
      <c r="C182" s="132"/>
      <c r="D182" s="133" t="s">
        <v>67</v>
      </c>
      <c r="E182" s="134" t="s">
        <v>31</v>
      </c>
      <c r="F182" s="164">
        <v>0</v>
      </c>
      <c r="G182" s="165">
        <v>1</v>
      </c>
      <c r="H182" s="165">
        <v>2</v>
      </c>
      <c r="I182" s="165">
        <v>3</v>
      </c>
      <c r="J182" s="166">
        <v>4</v>
      </c>
      <c r="K182" s="4"/>
      <c r="L182" s="4"/>
      <c r="M182" s="4"/>
      <c r="N182" s="4"/>
      <c r="O182" s="114"/>
      <c r="P182" s="114"/>
      <c r="Q182" s="115"/>
      <c r="R182" s="115"/>
      <c r="S182" s="115"/>
    </row>
    <row r="183" spans="1:26" x14ac:dyDescent="0.25">
      <c r="A183" s="2"/>
      <c r="B183" s="116"/>
      <c r="C183" s="4"/>
      <c r="D183" s="58"/>
      <c r="E183" s="4"/>
      <c r="F183" s="2"/>
      <c r="G183" s="2"/>
      <c r="H183" s="2"/>
      <c r="I183" s="2"/>
      <c r="J183" s="15"/>
      <c r="L183" s="4"/>
      <c r="M183" s="4"/>
      <c r="N183" s="4"/>
      <c r="O183" s="114"/>
      <c r="P183" s="114"/>
      <c r="Q183" s="115"/>
      <c r="R183" s="115"/>
      <c r="S183" s="115"/>
    </row>
    <row r="184" spans="1:26" x14ac:dyDescent="0.25">
      <c r="A184" s="2"/>
      <c r="B184" s="47" t="s">
        <v>68</v>
      </c>
      <c r="C184" s="4"/>
      <c r="D184" s="117">
        <f>SUM(F184:J184)</f>
        <v>19000000</v>
      </c>
      <c r="E184" s="4"/>
      <c r="F184" s="63">
        <v>4433952</v>
      </c>
      <c r="G184" s="63">
        <v>3993153</v>
      </c>
      <c r="H184" s="63">
        <v>3966737</v>
      </c>
      <c r="I184" s="63">
        <v>3387942</v>
      </c>
      <c r="J184" s="118">
        <v>3218216</v>
      </c>
      <c r="K184" s="61"/>
      <c r="L184" s="4"/>
      <c r="M184" s="4"/>
      <c r="N184" s="4"/>
      <c r="O184" s="114"/>
      <c r="P184" s="114"/>
      <c r="Q184" s="115"/>
      <c r="R184" s="115"/>
      <c r="S184" s="115"/>
    </row>
    <row r="185" spans="1:26" x14ac:dyDescent="0.25">
      <c r="A185" s="2"/>
      <c r="B185" s="47" t="s">
        <v>70</v>
      </c>
      <c r="C185" s="4"/>
      <c r="D185" s="117">
        <f>SUM(F185:J185)</f>
        <v>4016802</v>
      </c>
      <c r="E185" s="4"/>
      <c r="F185" s="63">
        <v>802694</v>
      </c>
      <c r="G185" s="63">
        <v>803527</v>
      </c>
      <c r="H185" s="63">
        <v>803527</v>
      </c>
      <c r="I185" s="63">
        <v>803527</v>
      </c>
      <c r="J185" s="118">
        <v>803527</v>
      </c>
      <c r="K185" s="2"/>
      <c r="L185" s="4"/>
      <c r="M185" s="4"/>
      <c r="N185" s="4"/>
      <c r="O185" s="114"/>
      <c r="P185" s="114"/>
      <c r="Q185" s="115"/>
      <c r="R185" s="115"/>
      <c r="S185" s="115"/>
    </row>
    <row r="186" spans="1:26" x14ac:dyDescent="0.25">
      <c r="A186" s="2"/>
      <c r="B186" s="47" t="s">
        <v>71</v>
      </c>
      <c r="C186" s="4"/>
      <c r="D186" s="117">
        <f>SUM(F186:J186)</f>
        <v>4268104</v>
      </c>
      <c r="E186" s="4"/>
      <c r="F186" s="63">
        <v>681802</v>
      </c>
      <c r="G186" s="63">
        <v>745573</v>
      </c>
      <c r="H186" s="63">
        <v>866894</v>
      </c>
      <c r="I186" s="63">
        <v>972211</v>
      </c>
      <c r="J186" s="118">
        <v>1001624</v>
      </c>
      <c r="K186" s="2"/>
      <c r="L186" s="4"/>
      <c r="M186" s="4"/>
      <c r="N186" s="4"/>
      <c r="O186" s="114"/>
      <c r="P186" s="114"/>
      <c r="Q186" s="115"/>
      <c r="R186" s="115"/>
      <c r="S186" s="115"/>
    </row>
    <row r="187" spans="1:26" x14ac:dyDescent="0.25">
      <c r="A187" s="2"/>
      <c r="B187" s="119" t="s">
        <v>69</v>
      </c>
      <c r="C187" s="120"/>
      <c r="D187" s="121">
        <f>SUM(D184:D186)</f>
        <v>27284906</v>
      </c>
      <c r="E187" s="59"/>
      <c r="F187" s="122">
        <f>SUM(F184:F186)</f>
        <v>5918448</v>
      </c>
      <c r="G187" s="122">
        <f>SUM(G184:G186)</f>
        <v>5542253</v>
      </c>
      <c r="H187" s="122">
        <f>SUM(H184:H186)</f>
        <v>5637158</v>
      </c>
      <c r="I187" s="122">
        <f>SUM(I184:I186)</f>
        <v>5163680</v>
      </c>
      <c r="J187" s="125">
        <f>SUM(J184:J186)</f>
        <v>5023367</v>
      </c>
      <c r="L187" s="4"/>
      <c r="M187" s="4"/>
      <c r="N187" s="4"/>
      <c r="O187" s="4"/>
      <c r="P187" s="4"/>
    </row>
    <row r="188" spans="1:26" ht="15.75" thickBot="1" x14ac:dyDescent="0.3">
      <c r="A188" s="2"/>
      <c r="B188" s="123"/>
      <c r="C188" s="20"/>
      <c r="D188" s="197"/>
      <c r="E188" s="20"/>
      <c r="F188" s="20"/>
      <c r="G188" s="20"/>
      <c r="H188" s="20"/>
      <c r="I188" s="20"/>
      <c r="J188" s="124"/>
      <c r="L188" s="4"/>
      <c r="M188" s="4"/>
      <c r="N188" s="4"/>
      <c r="O188" s="4"/>
      <c r="P188" s="4"/>
    </row>
    <row r="189" spans="1:26" ht="15.75" thickBot="1" x14ac:dyDescent="0.3">
      <c r="A189" s="2"/>
      <c r="B189" s="60"/>
      <c r="C189" s="2"/>
      <c r="D189" s="2"/>
      <c r="E189" s="2"/>
      <c r="F189" s="2"/>
      <c r="G189" s="2"/>
      <c r="H189" s="2"/>
      <c r="I189" s="2"/>
      <c r="J189" s="2"/>
      <c r="L189" s="4"/>
      <c r="M189" s="4"/>
      <c r="N189" s="4"/>
      <c r="O189" s="4"/>
      <c r="P189" s="4"/>
    </row>
    <row r="190" spans="1:26" x14ac:dyDescent="0.25">
      <c r="A190" s="1"/>
      <c r="B190" s="135" t="s">
        <v>192</v>
      </c>
      <c r="C190" s="136"/>
      <c r="D190" s="136"/>
      <c r="E190" s="136"/>
      <c r="F190" s="137"/>
      <c r="G190" s="137"/>
      <c r="H190" s="137"/>
      <c r="I190" s="137"/>
      <c r="J190" s="137"/>
      <c r="K190" s="137"/>
      <c r="L190" s="137"/>
      <c r="M190" s="137"/>
      <c r="N190" s="137"/>
      <c r="O190" s="137"/>
      <c r="P190" s="137"/>
      <c r="Q190" s="137"/>
      <c r="R190" s="137"/>
      <c r="S190" s="137"/>
      <c r="T190" s="137"/>
      <c r="U190" s="137"/>
      <c r="V190" s="137"/>
      <c r="W190" s="137"/>
      <c r="X190" s="137"/>
      <c r="Y190" s="137"/>
      <c r="Z190" s="138"/>
    </row>
    <row r="191" spans="1:26" x14ac:dyDescent="0.25">
      <c r="B191" s="157"/>
      <c r="C191" s="158"/>
      <c r="D191" s="158"/>
      <c r="E191" s="216" t="s">
        <v>8</v>
      </c>
      <c r="F191" s="159">
        <v>0</v>
      </c>
      <c r="G191" s="159">
        <v>1</v>
      </c>
      <c r="H191" s="159">
        <v>2</v>
      </c>
      <c r="I191" s="159">
        <v>3</v>
      </c>
      <c r="J191" s="159">
        <v>4</v>
      </c>
      <c r="K191" s="159">
        <v>5</v>
      </c>
      <c r="L191" s="159">
        <v>6</v>
      </c>
      <c r="M191" s="159">
        <v>7</v>
      </c>
      <c r="N191" s="159">
        <v>8</v>
      </c>
      <c r="O191" s="159">
        <v>9</v>
      </c>
      <c r="P191" s="160">
        <v>10</v>
      </c>
      <c r="Q191" s="159">
        <v>11</v>
      </c>
      <c r="R191" s="159">
        <v>12</v>
      </c>
      <c r="S191" s="159">
        <v>13</v>
      </c>
      <c r="T191" s="159">
        <v>14</v>
      </c>
      <c r="U191" s="159">
        <v>15</v>
      </c>
      <c r="V191" s="159">
        <v>16</v>
      </c>
      <c r="W191" s="159">
        <v>17</v>
      </c>
      <c r="X191" s="159">
        <v>18</v>
      </c>
      <c r="Y191" s="159">
        <v>19</v>
      </c>
      <c r="Z191" s="161">
        <v>20</v>
      </c>
    </row>
    <row r="192" spans="1:26" x14ac:dyDescent="0.25">
      <c r="B192" s="10" t="s">
        <v>52</v>
      </c>
      <c r="C192" s="2"/>
      <c r="D192" s="2"/>
      <c r="E192" s="2"/>
      <c r="F192" s="72"/>
      <c r="G192" s="83">
        <f>F44</f>
        <v>0</v>
      </c>
      <c r="H192" s="84">
        <f t="shared" ref="H192:P192" si="3">G192</f>
        <v>0</v>
      </c>
      <c r="I192" s="84">
        <f t="shared" si="3"/>
        <v>0</v>
      </c>
      <c r="J192" s="84">
        <f t="shared" si="3"/>
        <v>0</v>
      </c>
      <c r="K192" s="84">
        <f t="shared" si="3"/>
        <v>0</v>
      </c>
      <c r="L192" s="84">
        <f t="shared" si="3"/>
        <v>0</v>
      </c>
      <c r="M192" s="84">
        <f t="shared" si="3"/>
        <v>0</v>
      </c>
      <c r="N192" s="84">
        <f t="shared" si="3"/>
        <v>0</v>
      </c>
      <c r="O192" s="84">
        <f t="shared" si="3"/>
        <v>0</v>
      </c>
      <c r="P192" s="84">
        <f t="shared" si="3"/>
        <v>0</v>
      </c>
      <c r="Q192" s="84">
        <f t="shared" ref="Q192:Q198" si="4">P192</f>
        <v>0</v>
      </c>
      <c r="R192" s="84">
        <f t="shared" ref="R192:R198" si="5">Q192</f>
        <v>0</v>
      </c>
      <c r="S192" s="84">
        <f t="shared" ref="S192:S198" si="6">R192</f>
        <v>0</v>
      </c>
      <c r="T192" s="84">
        <f t="shared" ref="T192:T198" si="7">S192</f>
        <v>0</v>
      </c>
      <c r="U192" s="84">
        <f t="shared" ref="U192:U198" si="8">T192</f>
        <v>0</v>
      </c>
      <c r="V192" s="84">
        <f t="shared" ref="V192:V198" si="9">U192</f>
        <v>0</v>
      </c>
      <c r="W192" s="84">
        <f t="shared" ref="W192:W198" si="10">V192</f>
        <v>0</v>
      </c>
      <c r="X192" s="84">
        <f t="shared" ref="X192:X198" si="11">W192</f>
        <v>0</v>
      </c>
      <c r="Y192" s="84">
        <f t="shared" ref="Y192:Y198" si="12">X192</f>
        <v>0</v>
      </c>
      <c r="Z192" s="85">
        <f t="shared" ref="Z192:Z198" si="13">Y192</f>
        <v>0</v>
      </c>
    </row>
    <row r="193" spans="2:26" x14ac:dyDescent="0.25">
      <c r="B193" s="9" t="s">
        <v>169</v>
      </c>
      <c r="C193" s="2"/>
      <c r="D193" s="2"/>
      <c r="E193" s="2"/>
      <c r="F193" s="86"/>
      <c r="G193" s="86">
        <f>G49</f>
        <v>0</v>
      </c>
      <c r="H193" s="86">
        <f t="shared" ref="H193:N193" si="14">G193</f>
        <v>0</v>
      </c>
      <c r="I193" s="86">
        <f t="shared" si="14"/>
        <v>0</v>
      </c>
      <c r="J193" s="86">
        <f t="shared" si="14"/>
        <v>0</v>
      </c>
      <c r="K193" s="86">
        <f t="shared" si="14"/>
        <v>0</v>
      </c>
      <c r="L193" s="86">
        <f t="shared" si="14"/>
        <v>0</v>
      </c>
      <c r="M193" s="86">
        <f t="shared" si="14"/>
        <v>0</v>
      </c>
      <c r="N193" s="86">
        <f t="shared" si="14"/>
        <v>0</v>
      </c>
      <c r="O193" s="86">
        <f t="shared" ref="O193:Z193" si="15">N193</f>
        <v>0</v>
      </c>
      <c r="P193" s="86">
        <f t="shared" si="15"/>
        <v>0</v>
      </c>
      <c r="Q193" s="86">
        <f t="shared" si="15"/>
        <v>0</v>
      </c>
      <c r="R193" s="86">
        <f t="shared" si="15"/>
        <v>0</v>
      </c>
      <c r="S193" s="86">
        <f t="shared" si="15"/>
        <v>0</v>
      </c>
      <c r="T193" s="86">
        <f t="shared" si="15"/>
        <v>0</v>
      </c>
      <c r="U193" s="86">
        <f t="shared" si="15"/>
        <v>0</v>
      </c>
      <c r="V193" s="86">
        <f t="shared" si="15"/>
        <v>0</v>
      </c>
      <c r="W193" s="86">
        <f t="shared" si="15"/>
        <v>0</v>
      </c>
      <c r="X193" s="86">
        <f t="shared" si="15"/>
        <v>0</v>
      </c>
      <c r="Y193" s="86">
        <f t="shared" si="15"/>
        <v>0</v>
      </c>
      <c r="Z193" s="87">
        <f t="shared" si="15"/>
        <v>0</v>
      </c>
    </row>
    <row r="194" spans="2:26" x14ac:dyDescent="0.25">
      <c r="B194" s="10" t="s">
        <v>170</v>
      </c>
      <c r="C194" s="2"/>
      <c r="D194" s="2"/>
      <c r="E194" s="2"/>
      <c r="F194" s="86"/>
      <c r="G194" s="86">
        <f>G48</f>
        <v>0</v>
      </c>
      <c r="H194" s="86">
        <f t="shared" ref="H194:P194" si="16">G194</f>
        <v>0</v>
      </c>
      <c r="I194" s="86">
        <f>H194</f>
        <v>0</v>
      </c>
      <c r="J194" s="86">
        <f t="shared" si="16"/>
        <v>0</v>
      </c>
      <c r="K194" s="86">
        <f t="shared" si="16"/>
        <v>0</v>
      </c>
      <c r="L194" s="86">
        <f t="shared" si="16"/>
        <v>0</v>
      </c>
      <c r="M194" s="86">
        <f t="shared" si="16"/>
        <v>0</v>
      </c>
      <c r="N194" s="86">
        <f>M194</f>
        <v>0</v>
      </c>
      <c r="O194" s="86">
        <f t="shared" si="16"/>
        <v>0</v>
      </c>
      <c r="P194" s="86">
        <f t="shared" si="16"/>
        <v>0</v>
      </c>
      <c r="Q194" s="86">
        <f t="shared" si="4"/>
        <v>0</v>
      </c>
      <c r="R194" s="86">
        <f t="shared" si="5"/>
        <v>0</v>
      </c>
      <c r="S194" s="86">
        <f t="shared" si="6"/>
        <v>0</v>
      </c>
      <c r="T194" s="86">
        <f t="shared" si="7"/>
        <v>0</v>
      </c>
      <c r="U194" s="86">
        <f t="shared" si="8"/>
        <v>0</v>
      </c>
      <c r="V194" s="86">
        <f t="shared" si="9"/>
        <v>0</v>
      </c>
      <c r="W194" s="86">
        <f t="shared" si="10"/>
        <v>0</v>
      </c>
      <c r="X194" s="86">
        <f t="shared" si="11"/>
        <v>0</v>
      </c>
      <c r="Y194" s="86">
        <f t="shared" si="12"/>
        <v>0</v>
      </c>
      <c r="Z194" s="87">
        <f t="shared" si="13"/>
        <v>0</v>
      </c>
    </row>
    <row r="195" spans="2:26" x14ac:dyDescent="0.25">
      <c r="B195" s="10" t="s">
        <v>12</v>
      </c>
      <c r="C195" s="2"/>
      <c r="D195" s="2"/>
      <c r="E195" s="2"/>
      <c r="F195" s="86"/>
      <c r="G195" s="86">
        <f>F45</f>
        <v>0.01</v>
      </c>
      <c r="H195" s="86">
        <f>G195</f>
        <v>0.01</v>
      </c>
      <c r="I195" s="86">
        <f>H195</f>
        <v>0.01</v>
      </c>
      <c r="J195" s="86">
        <f t="shared" ref="H195:P198" si="17">I195</f>
        <v>0.01</v>
      </c>
      <c r="K195" s="86">
        <f t="shared" si="17"/>
        <v>0.01</v>
      </c>
      <c r="L195" s="86">
        <f t="shared" si="17"/>
        <v>0.01</v>
      </c>
      <c r="M195" s="86">
        <f t="shared" si="17"/>
        <v>0.01</v>
      </c>
      <c r="N195" s="86">
        <f>M195</f>
        <v>0.01</v>
      </c>
      <c r="O195" s="86">
        <f t="shared" si="17"/>
        <v>0.01</v>
      </c>
      <c r="P195" s="86">
        <f t="shared" si="17"/>
        <v>0.01</v>
      </c>
      <c r="Q195" s="86">
        <f t="shared" si="4"/>
        <v>0.01</v>
      </c>
      <c r="R195" s="86">
        <f t="shared" si="5"/>
        <v>0.01</v>
      </c>
      <c r="S195" s="86">
        <f t="shared" si="6"/>
        <v>0.01</v>
      </c>
      <c r="T195" s="86">
        <f t="shared" si="7"/>
        <v>0.01</v>
      </c>
      <c r="U195" s="86">
        <f t="shared" si="8"/>
        <v>0.01</v>
      </c>
      <c r="V195" s="86">
        <f t="shared" si="9"/>
        <v>0.01</v>
      </c>
      <c r="W195" s="86">
        <f t="shared" si="10"/>
        <v>0.01</v>
      </c>
      <c r="X195" s="86">
        <f t="shared" si="11"/>
        <v>0.01</v>
      </c>
      <c r="Y195" s="86">
        <f t="shared" si="12"/>
        <v>0.01</v>
      </c>
      <c r="Z195" s="87">
        <f t="shared" si="13"/>
        <v>0.01</v>
      </c>
    </row>
    <row r="196" spans="2:26" x14ac:dyDescent="0.25">
      <c r="B196" s="9"/>
      <c r="C196" s="2"/>
      <c r="D196" s="2"/>
      <c r="E196" s="2"/>
      <c r="F196" s="86"/>
      <c r="G196" s="86"/>
      <c r="H196" s="86"/>
      <c r="I196" s="86"/>
      <c r="J196" s="86"/>
      <c r="K196" s="86"/>
      <c r="L196" s="86"/>
      <c r="M196" s="86"/>
      <c r="N196" s="86"/>
      <c r="O196" s="86"/>
      <c r="P196" s="86"/>
      <c r="Q196" s="86"/>
      <c r="R196" s="86"/>
      <c r="S196" s="86"/>
      <c r="T196" s="86"/>
      <c r="U196" s="86"/>
      <c r="V196" s="86"/>
      <c r="W196" s="86"/>
      <c r="X196" s="86"/>
      <c r="Y196" s="86"/>
      <c r="Z196" s="87"/>
    </row>
    <row r="197" spans="2:26" x14ac:dyDescent="0.25">
      <c r="B197" s="9" t="s">
        <v>46</v>
      </c>
      <c r="C197" s="2"/>
      <c r="D197" s="2"/>
      <c r="E197" s="2"/>
      <c r="F197" s="86"/>
      <c r="G197" s="86">
        <f>D169</f>
        <v>0.04</v>
      </c>
      <c r="H197" s="86">
        <f t="shared" si="17"/>
        <v>0.04</v>
      </c>
      <c r="I197" s="86">
        <f t="shared" si="17"/>
        <v>0.04</v>
      </c>
      <c r="J197" s="86">
        <f t="shared" si="17"/>
        <v>0.04</v>
      </c>
      <c r="K197" s="86">
        <f t="shared" si="17"/>
        <v>0.04</v>
      </c>
      <c r="L197" s="86">
        <f t="shared" si="17"/>
        <v>0.04</v>
      </c>
      <c r="M197" s="86">
        <f t="shared" si="17"/>
        <v>0.04</v>
      </c>
      <c r="N197" s="86">
        <f>M197</f>
        <v>0.04</v>
      </c>
      <c r="O197" s="86">
        <f t="shared" si="17"/>
        <v>0.04</v>
      </c>
      <c r="P197" s="86">
        <f t="shared" si="17"/>
        <v>0.04</v>
      </c>
      <c r="Q197" s="86">
        <f t="shared" si="4"/>
        <v>0.04</v>
      </c>
      <c r="R197" s="86">
        <f t="shared" si="5"/>
        <v>0.04</v>
      </c>
      <c r="S197" s="86">
        <f t="shared" si="6"/>
        <v>0.04</v>
      </c>
      <c r="T197" s="86">
        <f t="shared" si="7"/>
        <v>0.04</v>
      </c>
      <c r="U197" s="86">
        <f t="shared" si="8"/>
        <v>0.04</v>
      </c>
      <c r="V197" s="86">
        <f t="shared" si="9"/>
        <v>0.04</v>
      </c>
      <c r="W197" s="86">
        <f t="shared" si="10"/>
        <v>0.04</v>
      </c>
      <c r="X197" s="86">
        <f t="shared" si="11"/>
        <v>0.04</v>
      </c>
      <c r="Y197" s="86">
        <f t="shared" si="12"/>
        <v>0.04</v>
      </c>
      <c r="Z197" s="87">
        <f t="shared" si="13"/>
        <v>0.04</v>
      </c>
    </row>
    <row r="198" spans="2:26" x14ac:dyDescent="0.25">
      <c r="B198" s="9" t="s">
        <v>47</v>
      </c>
      <c r="C198" s="2"/>
      <c r="D198" s="2"/>
      <c r="E198" s="2"/>
      <c r="F198" s="86"/>
      <c r="G198" s="86">
        <f>D170</f>
        <v>0.02</v>
      </c>
      <c r="H198" s="86">
        <f>G198</f>
        <v>0.02</v>
      </c>
      <c r="I198" s="86">
        <f t="shared" si="17"/>
        <v>0.02</v>
      </c>
      <c r="J198" s="86">
        <f t="shared" si="17"/>
        <v>0.02</v>
      </c>
      <c r="K198" s="86">
        <f t="shared" si="17"/>
        <v>0.02</v>
      </c>
      <c r="L198" s="86">
        <f t="shared" si="17"/>
        <v>0.02</v>
      </c>
      <c r="M198" s="86">
        <f t="shared" si="17"/>
        <v>0.02</v>
      </c>
      <c r="N198" s="86">
        <f>M198</f>
        <v>0.02</v>
      </c>
      <c r="O198" s="86">
        <f t="shared" si="17"/>
        <v>0.02</v>
      </c>
      <c r="P198" s="86">
        <f t="shared" si="17"/>
        <v>0.02</v>
      </c>
      <c r="Q198" s="86">
        <f t="shared" si="4"/>
        <v>0.02</v>
      </c>
      <c r="R198" s="86">
        <f t="shared" si="5"/>
        <v>0.02</v>
      </c>
      <c r="S198" s="86">
        <f t="shared" si="6"/>
        <v>0.02</v>
      </c>
      <c r="T198" s="86">
        <f t="shared" si="7"/>
        <v>0.02</v>
      </c>
      <c r="U198" s="86">
        <f t="shared" si="8"/>
        <v>0.02</v>
      </c>
      <c r="V198" s="86">
        <f t="shared" si="9"/>
        <v>0.02</v>
      </c>
      <c r="W198" s="86">
        <f t="shared" si="10"/>
        <v>0.02</v>
      </c>
      <c r="X198" s="86">
        <f t="shared" si="11"/>
        <v>0.02</v>
      </c>
      <c r="Y198" s="86">
        <f t="shared" si="12"/>
        <v>0.02</v>
      </c>
      <c r="Z198" s="87">
        <f t="shared" si="13"/>
        <v>0.02</v>
      </c>
    </row>
    <row r="199" spans="2:26" x14ac:dyDescent="0.25">
      <c r="B199" s="9"/>
      <c r="C199" s="2"/>
      <c r="D199" s="2"/>
      <c r="E199" s="2"/>
      <c r="F199" s="86"/>
      <c r="G199" s="86"/>
      <c r="H199" s="86"/>
      <c r="I199" s="86"/>
      <c r="J199" s="86"/>
      <c r="K199" s="86"/>
      <c r="L199" s="86"/>
      <c r="M199" s="86"/>
      <c r="N199" s="86"/>
      <c r="O199" s="86"/>
      <c r="P199" s="86"/>
      <c r="Q199" s="86"/>
      <c r="R199" s="86"/>
      <c r="S199" s="86"/>
      <c r="T199" s="86"/>
      <c r="U199" s="86"/>
      <c r="V199" s="86"/>
      <c r="W199" s="86"/>
      <c r="X199" s="86"/>
      <c r="Y199" s="86"/>
      <c r="Z199" s="87"/>
    </row>
    <row r="200" spans="2:26" x14ac:dyDescent="0.25">
      <c r="B200" s="10" t="s">
        <v>122</v>
      </c>
      <c r="C200" s="2"/>
      <c r="D200" s="2"/>
      <c r="E200" s="2"/>
      <c r="F200" s="73">
        <f>(1+G192)^0</f>
        <v>1</v>
      </c>
      <c r="G200" s="88">
        <f>F200*(1+G192)</f>
        <v>1</v>
      </c>
      <c r="H200" s="88">
        <f t="shared" ref="H200:Z200" si="18">G200*(1+H192)</f>
        <v>1</v>
      </c>
      <c r="I200" s="88">
        <f t="shared" si="18"/>
        <v>1</v>
      </c>
      <c r="J200" s="88">
        <f t="shared" si="18"/>
        <v>1</v>
      </c>
      <c r="K200" s="88">
        <f t="shared" si="18"/>
        <v>1</v>
      </c>
      <c r="L200" s="88">
        <f t="shared" si="18"/>
        <v>1</v>
      </c>
      <c r="M200" s="88">
        <f t="shared" si="18"/>
        <v>1</v>
      </c>
      <c r="N200" s="88">
        <f t="shared" si="18"/>
        <v>1</v>
      </c>
      <c r="O200" s="88">
        <f t="shared" si="18"/>
        <v>1</v>
      </c>
      <c r="P200" s="88">
        <f t="shared" si="18"/>
        <v>1</v>
      </c>
      <c r="Q200" s="88">
        <f t="shared" si="18"/>
        <v>1</v>
      </c>
      <c r="R200" s="88">
        <f t="shared" si="18"/>
        <v>1</v>
      </c>
      <c r="S200" s="88">
        <f t="shared" si="18"/>
        <v>1</v>
      </c>
      <c r="T200" s="88">
        <f t="shared" si="18"/>
        <v>1</v>
      </c>
      <c r="U200" s="88">
        <f t="shared" si="18"/>
        <v>1</v>
      </c>
      <c r="V200" s="88">
        <f t="shared" si="18"/>
        <v>1</v>
      </c>
      <c r="W200" s="88">
        <f t="shared" si="18"/>
        <v>1</v>
      </c>
      <c r="X200" s="88">
        <f t="shared" si="18"/>
        <v>1</v>
      </c>
      <c r="Y200" s="88">
        <f t="shared" si="18"/>
        <v>1</v>
      </c>
      <c r="Z200" s="89">
        <f t="shared" si="18"/>
        <v>1</v>
      </c>
    </row>
    <row r="201" spans="2:26" x14ac:dyDescent="0.25">
      <c r="B201" s="10" t="s">
        <v>258</v>
      </c>
      <c r="C201" s="2"/>
      <c r="D201" s="2"/>
      <c r="E201" s="2"/>
      <c r="F201" s="73">
        <v>1</v>
      </c>
      <c r="G201" s="88">
        <f>F201*(1+$H$30)</f>
        <v>1.034</v>
      </c>
      <c r="H201" s="88">
        <f>G201*(1+$H$30)</f>
        <v>1.069156</v>
      </c>
      <c r="I201" s="88">
        <f>H201*(1+$H$30)</f>
        <v>1.1055073040000001</v>
      </c>
      <c r="J201" s="88">
        <f>I201*(1+$H$30)</f>
        <v>1.1430945523360001</v>
      </c>
      <c r="K201" s="88">
        <f>J201*(1+$H$33)</f>
        <v>1.1430945523360001</v>
      </c>
      <c r="L201" s="88">
        <f t="shared" ref="L201:Z201" si="19">K201*(1+$H$33)</f>
        <v>1.1430945523360001</v>
      </c>
      <c r="M201" s="88">
        <f t="shared" si="19"/>
        <v>1.1430945523360001</v>
      </c>
      <c r="N201" s="88">
        <f t="shared" si="19"/>
        <v>1.1430945523360001</v>
      </c>
      <c r="O201" s="88">
        <f t="shared" si="19"/>
        <v>1.1430945523360001</v>
      </c>
      <c r="P201" s="88">
        <f t="shared" si="19"/>
        <v>1.1430945523360001</v>
      </c>
      <c r="Q201" s="88">
        <f t="shared" si="19"/>
        <v>1.1430945523360001</v>
      </c>
      <c r="R201" s="88">
        <f t="shared" si="19"/>
        <v>1.1430945523360001</v>
      </c>
      <c r="S201" s="88">
        <f t="shared" si="19"/>
        <v>1.1430945523360001</v>
      </c>
      <c r="T201" s="88">
        <f t="shared" si="19"/>
        <v>1.1430945523360001</v>
      </c>
      <c r="U201" s="88">
        <f t="shared" si="19"/>
        <v>1.1430945523360001</v>
      </c>
      <c r="V201" s="88">
        <f t="shared" si="19"/>
        <v>1.1430945523360001</v>
      </c>
      <c r="W201" s="88">
        <f t="shared" si="19"/>
        <v>1.1430945523360001</v>
      </c>
      <c r="X201" s="88">
        <f t="shared" si="19"/>
        <v>1.1430945523360001</v>
      </c>
      <c r="Y201" s="88">
        <f t="shared" si="19"/>
        <v>1.1430945523360001</v>
      </c>
      <c r="Z201" s="89">
        <f t="shared" si="19"/>
        <v>1.1430945523360001</v>
      </c>
    </row>
    <row r="202" spans="2:26" x14ac:dyDescent="0.25">
      <c r="B202" s="10" t="s">
        <v>121</v>
      </c>
      <c r="C202" s="2"/>
      <c r="D202" s="2"/>
      <c r="E202" s="2"/>
      <c r="F202" s="73">
        <v>1</v>
      </c>
      <c r="G202" s="88">
        <f>F202*(1+$H$31)</f>
        <v>1.1000000000000001</v>
      </c>
      <c r="H202" s="88">
        <f>G202*(1+$H$31)</f>
        <v>1.2100000000000002</v>
      </c>
      <c r="I202" s="88">
        <f>H202*(1+$H$31)</f>
        <v>1.3310000000000004</v>
      </c>
      <c r="J202" s="88">
        <f>I202*(1+$H$31)</f>
        <v>1.4641000000000006</v>
      </c>
      <c r="K202" s="88">
        <f>J202*(1+$H$33)</f>
        <v>1.4641000000000006</v>
      </c>
      <c r="L202" s="88">
        <f t="shared" ref="L202:Z203" si="20">K202*(1+$H$33)</f>
        <v>1.4641000000000006</v>
      </c>
      <c r="M202" s="88">
        <f t="shared" si="20"/>
        <v>1.4641000000000006</v>
      </c>
      <c r="N202" s="88">
        <f t="shared" si="20"/>
        <v>1.4641000000000006</v>
      </c>
      <c r="O202" s="88">
        <f t="shared" si="20"/>
        <v>1.4641000000000006</v>
      </c>
      <c r="P202" s="88">
        <f t="shared" si="20"/>
        <v>1.4641000000000006</v>
      </c>
      <c r="Q202" s="88">
        <f t="shared" si="20"/>
        <v>1.4641000000000006</v>
      </c>
      <c r="R202" s="88">
        <f t="shared" si="20"/>
        <v>1.4641000000000006</v>
      </c>
      <c r="S202" s="88">
        <f t="shared" si="20"/>
        <v>1.4641000000000006</v>
      </c>
      <c r="T202" s="88">
        <f t="shared" si="20"/>
        <v>1.4641000000000006</v>
      </c>
      <c r="U202" s="88">
        <f t="shared" si="20"/>
        <v>1.4641000000000006</v>
      </c>
      <c r="V202" s="88">
        <f t="shared" si="20"/>
        <v>1.4641000000000006</v>
      </c>
      <c r="W202" s="88">
        <f t="shared" si="20"/>
        <v>1.4641000000000006</v>
      </c>
      <c r="X202" s="88">
        <f t="shared" si="20"/>
        <v>1.4641000000000006</v>
      </c>
      <c r="Y202" s="88">
        <f t="shared" si="20"/>
        <v>1.4641000000000006</v>
      </c>
      <c r="Z202" s="89">
        <f t="shared" si="20"/>
        <v>1.4641000000000006</v>
      </c>
    </row>
    <row r="203" spans="2:26" x14ac:dyDescent="0.25">
      <c r="B203" s="10" t="s">
        <v>259</v>
      </c>
      <c r="C203" s="2"/>
      <c r="D203" s="2"/>
      <c r="E203" s="2"/>
      <c r="F203" s="73">
        <v>1</v>
      </c>
      <c r="G203" s="88">
        <f t="shared" ref="G203:J203" si="21">F203+(1*$H$32)</f>
        <v>1.1599999999999999</v>
      </c>
      <c r="H203" s="88">
        <f t="shared" si="21"/>
        <v>1.3199999999999998</v>
      </c>
      <c r="I203" s="88">
        <f t="shared" si="21"/>
        <v>1.4799999999999998</v>
      </c>
      <c r="J203" s="88">
        <f t="shared" si="21"/>
        <v>1.6399999999999997</v>
      </c>
      <c r="K203" s="88">
        <f>J203*(1+$H$33)</f>
        <v>1.6399999999999997</v>
      </c>
      <c r="L203" s="88">
        <f t="shared" si="20"/>
        <v>1.6399999999999997</v>
      </c>
      <c r="M203" s="88">
        <f t="shared" si="20"/>
        <v>1.6399999999999997</v>
      </c>
      <c r="N203" s="88">
        <f t="shared" si="20"/>
        <v>1.6399999999999997</v>
      </c>
      <c r="O203" s="88">
        <f t="shared" si="20"/>
        <v>1.6399999999999997</v>
      </c>
      <c r="P203" s="88">
        <f t="shared" si="20"/>
        <v>1.6399999999999997</v>
      </c>
      <c r="Q203" s="88">
        <f t="shared" si="20"/>
        <v>1.6399999999999997</v>
      </c>
      <c r="R203" s="88">
        <f t="shared" si="20"/>
        <v>1.6399999999999997</v>
      </c>
      <c r="S203" s="88">
        <f t="shared" si="20"/>
        <v>1.6399999999999997</v>
      </c>
      <c r="T203" s="88">
        <f t="shared" si="20"/>
        <v>1.6399999999999997</v>
      </c>
      <c r="U203" s="88">
        <f t="shared" si="20"/>
        <v>1.6399999999999997</v>
      </c>
      <c r="V203" s="88">
        <f t="shared" si="20"/>
        <v>1.6399999999999997</v>
      </c>
      <c r="W203" s="88">
        <f t="shared" si="20"/>
        <v>1.6399999999999997</v>
      </c>
      <c r="X203" s="88">
        <f t="shared" si="20"/>
        <v>1.6399999999999997</v>
      </c>
      <c r="Y203" s="88">
        <f t="shared" si="20"/>
        <v>1.6399999999999997</v>
      </c>
      <c r="Z203" s="89">
        <f t="shared" si="20"/>
        <v>1.6399999999999997</v>
      </c>
    </row>
    <row r="204" spans="2:26" x14ac:dyDescent="0.25">
      <c r="B204" s="10" t="s">
        <v>39</v>
      </c>
      <c r="C204" s="2"/>
      <c r="D204" s="2"/>
      <c r="E204" s="2"/>
      <c r="F204" s="73">
        <f>(1+F193)^0</f>
        <v>1</v>
      </c>
      <c r="G204" s="88">
        <f t="shared" ref="G204:Z204" si="22">F204*(1+G193)</f>
        <v>1</v>
      </c>
      <c r="H204" s="88">
        <f t="shared" si="22"/>
        <v>1</v>
      </c>
      <c r="I204" s="88">
        <f t="shared" si="22"/>
        <v>1</v>
      </c>
      <c r="J204" s="88">
        <f t="shared" si="22"/>
        <v>1</v>
      </c>
      <c r="K204" s="88">
        <f t="shared" si="22"/>
        <v>1</v>
      </c>
      <c r="L204" s="88">
        <f t="shared" si="22"/>
        <v>1</v>
      </c>
      <c r="M204" s="88">
        <f t="shared" si="22"/>
        <v>1</v>
      </c>
      <c r="N204" s="88">
        <f t="shared" si="22"/>
        <v>1</v>
      </c>
      <c r="O204" s="88">
        <f t="shared" si="22"/>
        <v>1</v>
      </c>
      <c r="P204" s="88">
        <f t="shared" si="22"/>
        <v>1</v>
      </c>
      <c r="Q204" s="88">
        <f t="shared" si="22"/>
        <v>1</v>
      </c>
      <c r="R204" s="88">
        <f t="shared" si="22"/>
        <v>1</v>
      </c>
      <c r="S204" s="88">
        <f t="shared" si="22"/>
        <v>1</v>
      </c>
      <c r="T204" s="88">
        <f t="shared" si="22"/>
        <v>1</v>
      </c>
      <c r="U204" s="88">
        <f t="shared" si="22"/>
        <v>1</v>
      </c>
      <c r="V204" s="88">
        <f t="shared" si="22"/>
        <v>1</v>
      </c>
      <c r="W204" s="88">
        <f t="shared" si="22"/>
        <v>1</v>
      </c>
      <c r="X204" s="88">
        <f t="shared" si="22"/>
        <v>1</v>
      </c>
      <c r="Y204" s="88">
        <f t="shared" si="22"/>
        <v>1</v>
      </c>
      <c r="Z204" s="89">
        <f t="shared" si="22"/>
        <v>1</v>
      </c>
    </row>
    <row r="205" spans="2:26" x14ac:dyDescent="0.25">
      <c r="B205" s="10" t="s">
        <v>14</v>
      </c>
      <c r="C205" s="2"/>
      <c r="D205" s="2"/>
      <c r="E205" s="2"/>
      <c r="F205" s="73">
        <f>(1+F194)^0</f>
        <v>1</v>
      </c>
      <c r="G205" s="88">
        <f t="shared" ref="G205:Z205" si="23">F205*(1+G194)</f>
        <v>1</v>
      </c>
      <c r="H205" s="88">
        <f t="shared" si="23"/>
        <v>1</v>
      </c>
      <c r="I205" s="88">
        <f t="shared" si="23"/>
        <v>1</v>
      </c>
      <c r="J205" s="88">
        <f t="shared" si="23"/>
        <v>1</v>
      </c>
      <c r="K205" s="88">
        <f t="shared" si="23"/>
        <v>1</v>
      </c>
      <c r="L205" s="88">
        <f t="shared" si="23"/>
        <v>1</v>
      </c>
      <c r="M205" s="88">
        <f t="shared" si="23"/>
        <v>1</v>
      </c>
      <c r="N205" s="88">
        <f t="shared" si="23"/>
        <v>1</v>
      </c>
      <c r="O205" s="88">
        <f t="shared" si="23"/>
        <v>1</v>
      </c>
      <c r="P205" s="88">
        <f t="shared" si="23"/>
        <v>1</v>
      </c>
      <c r="Q205" s="88">
        <f t="shared" si="23"/>
        <v>1</v>
      </c>
      <c r="R205" s="88">
        <f t="shared" si="23"/>
        <v>1</v>
      </c>
      <c r="S205" s="88">
        <f t="shared" si="23"/>
        <v>1</v>
      </c>
      <c r="T205" s="88">
        <f t="shared" si="23"/>
        <v>1</v>
      </c>
      <c r="U205" s="88">
        <f t="shared" si="23"/>
        <v>1</v>
      </c>
      <c r="V205" s="88">
        <f t="shared" si="23"/>
        <v>1</v>
      </c>
      <c r="W205" s="88">
        <f t="shared" si="23"/>
        <v>1</v>
      </c>
      <c r="X205" s="88">
        <f t="shared" si="23"/>
        <v>1</v>
      </c>
      <c r="Y205" s="88">
        <f t="shared" si="23"/>
        <v>1</v>
      </c>
      <c r="Z205" s="89">
        <f t="shared" si="23"/>
        <v>1</v>
      </c>
    </row>
    <row r="206" spans="2:26" x14ac:dyDescent="0.25">
      <c r="B206" s="10" t="s">
        <v>13</v>
      </c>
      <c r="C206" s="2"/>
      <c r="D206" s="2"/>
      <c r="E206" s="2"/>
      <c r="F206" s="73">
        <f>(1+F195)^0</f>
        <v>1</v>
      </c>
      <c r="G206" s="88">
        <f t="shared" ref="G206:Z206" si="24">F206*(1+G195)</f>
        <v>1.01</v>
      </c>
      <c r="H206" s="88">
        <f t="shared" si="24"/>
        <v>1.0201</v>
      </c>
      <c r="I206" s="88">
        <f t="shared" si="24"/>
        <v>1.0303009999999999</v>
      </c>
      <c r="J206" s="88">
        <f t="shared" si="24"/>
        <v>1.04060401</v>
      </c>
      <c r="K206" s="88">
        <f t="shared" si="24"/>
        <v>1.0510100500999999</v>
      </c>
      <c r="L206" s="88">
        <f t="shared" si="24"/>
        <v>1.0615201506009999</v>
      </c>
      <c r="M206" s="88">
        <f t="shared" si="24"/>
        <v>1.0721353521070098</v>
      </c>
      <c r="N206" s="88">
        <f t="shared" si="24"/>
        <v>1.08285670562808</v>
      </c>
      <c r="O206" s="88">
        <f t="shared" si="24"/>
        <v>1.0936852726843609</v>
      </c>
      <c r="P206" s="88">
        <f t="shared" si="24"/>
        <v>1.1046221254112045</v>
      </c>
      <c r="Q206" s="88">
        <f t="shared" si="24"/>
        <v>1.1156683466653166</v>
      </c>
      <c r="R206" s="88">
        <f t="shared" si="24"/>
        <v>1.1268250301319698</v>
      </c>
      <c r="S206" s="88">
        <f t="shared" si="24"/>
        <v>1.1380932804332895</v>
      </c>
      <c r="T206" s="88">
        <f t="shared" si="24"/>
        <v>1.1494742132376223</v>
      </c>
      <c r="U206" s="88">
        <f t="shared" si="24"/>
        <v>1.1609689553699987</v>
      </c>
      <c r="V206" s="88">
        <f t="shared" si="24"/>
        <v>1.1725786449236986</v>
      </c>
      <c r="W206" s="88">
        <f t="shared" si="24"/>
        <v>1.1843044313729356</v>
      </c>
      <c r="X206" s="88">
        <f t="shared" si="24"/>
        <v>1.196147475686665</v>
      </c>
      <c r="Y206" s="88">
        <f t="shared" si="24"/>
        <v>1.2081089504435316</v>
      </c>
      <c r="Z206" s="89">
        <f t="shared" si="24"/>
        <v>1.220190039947967</v>
      </c>
    </row>
    <row r="207" spans="2:26" x14ac:dyDescent="0.25">
      <c r="B207" s="10"/>
      <c r="C207" s="2"/>
      <c r="D207" s="2"/>
      <c r="E207" s="2"/>
      <c r="F207" s="73"/>
      <c r="G207" s="88"/>
      <c r="H207" s="88"/>
      <c r="I207" s="88"/>
      <c r="J207" s="88"/>
      <c r="K207" s="88"/>
      <c r="L207" s="88"/>
      <c r="M207" s="88"/>
      <c r="N207" s="88"/>
      <c r="O207" s="88"/>
      <c r="P207" s="88"/>
      <c r="Q207" s="88"/>
      <c r="R207" s="88"/>
      <c r="S207" s="88"/>
      <c r="T207" s="88"/>
      <c r="U207" s="88"/>
      <c r="V207" s="88"/>
      <c r="W207" s="88"/>
      <c r="X207" s="88"/>
      <c r="Y207" s="88"/>
      <c r="Z207" s="89"/>
    </row>
    <row r="208" spans="2:26" x14ac:dyDescent="0.25">
      <c r="B208" s="10" t="s">
        <v>48</v>
      </c>
      <c r="C208" s="2"/>
      <c r="D208" s="2"/>
      <c r="E208" s="2"/>
      <c r="F208" s="73">
        <v>1</v>
      </c>
      <c r="G208" s="88">
        <f t="shared" ref="G208:Z208" si="25">F208*(1+G198)</f>
        <v>1.02</v>
      </c>
      <c r="H208" s="88">
        <f t="shared" si="25"/>
        <v>1.0404</v>
      </c>
      <c r="I208" s="88">
        <f t="shared" si="25"/>
        <v>1.0612079999999999</v>
      </c>
      <c r="J208" s="88">
        <f t="shared" si="25"/>
        <v>1.08243216</v>
      </c>
      <c r="K208" s="88">
        <f t="shared" si="25"/>
        <v>1.1040808032</v>
      </c>
      <c r="L208" s="88">
        <f t="shared" si="25"/>
        <v>1.1261624192640001</v>
      </c>
      <c r="M208" s="88">
        <f t="shared" si="25"/>
        <v>1.14868566764928</v>
      </c>
      <c r="N208" s="88">
        <f t="shared" si="25"/>
        <v>1.1716593810022657</v>
      </c>
      <c r="O208" s="88">
        <f t="shared" si="25"/>
        <v>1.1950925686223111</v>
      </c>
      <c r="P208" s="88">
        <f t="shared" si="25"/>
        <v>1.2189944199947573</v>
      </c>
      <c r="Q208" s="88">
        <f t="shared" si="25"/>
        <v>1.2433743083946525</v>
      </c>
      <c r="R208" s="88">
        <f t="shared" si="25"/>
        <v>1.2682417945625455</v>
      </c>
      <c r="S208" s="88">
        <f t="shared" si="25"/>
        <v>1.2936066304537963</v>
      </c>
      <c r="T208" s="88">
        <f t="shared" si="25"/>
        <v>1.3194787630628724</v>
      </c>
      <c r="U208" s="88">
        <f t="shared" si="25"/>
        <v>1.3458683383241299</v>
      </c>
      <c r="V208" s="88">
        <f t="shared" si="25"/>
        <v>1.3727857050906125</v>
      </c>
      <c r="W208" s="88">
        <f t="shared" si="25"/>
        <v>1.4002414191924248</v>
      </c>
      <c r="X208" s="88">
        <f t="shared" si="25"/>
        <v>1.4282462475762734</v>
      </c>
      <c r="Y208" s="88">
        <f t="shared" si="25"/>
        <v>1.4568111725277988</v>
      </c>
      <c r="Z208" s="89">
        <f t="shared" si="25"/>
        <v>1.4859473959783549</v>
      </c>
    </row>
    <row r="209" spans="1:26" x14ac:dyDescent="0.25">
      <c r="B209" s="10" t="s">
        <v>200</v>
      </c>
      <c r="C209" s="2"/>
      <c r="D209" s="2"/>
      <c r="E209" s="2"/>
      <c r="F209" s="73">
        <f>(1+F197)^0</f>
        <v>1</v>
      </c>
      <c r="G209" s="88">
        <f t="shared" ref="G209:Z209" si="26">F209*(1+G197)</f>
        <v>1.04</v>
      </c>
      <c r="H209" s="88">
        <f t="shared" si="26"/>
        <v>1.0816000000000001</v>
      </c>
      <c r="I209" s="88">
        <f t="shared" si="26"/>
        <v>1.1248640000000001</v>
      </c>
      <c r="J209" s="88">
        <f t="shared" si="26"/>
        <v>1.1698585600000002</v>
      </c>
      <c r="K209" s="88">
        <f t="shared" si="26"/>
        <v>1.2166529024000003</v>
      </c>
      <c r="L209" s="88">
        <f t="shared" si="26"/>
        <v>1.2653190184960004</v>
      </c>
      <c r="M209" s="88">
        <f t="shared" si="26"/>
        <v>1.3159317792358405</v>
      </c>
      <c r="N209" s="88">
        <f t="shared" si="26"/>
        <v>1.3685690504052741</v>
      </c>
      <c r="O209" s="88">
        <f t="shared" si="26"/>
        <v>1.4233118124214852</v>
      </c>
      <c r="P209" s="88">
        <f t="shared" si="26"/>
        <v>1.4802442849183446</v>
      </c>
      <c r="Q209" s="88">
        <f t="shared" si="26"/>
        <v>1.5394540563150785</v>
      </c>
      <c r="R209" s="88">
        <f t="shared" si="26"/>
        <v>1.6010322185676817</v>
      </c>
      <c r="S209" s="88">
        <f t="shared" si="26"/>
        <v>1.6650735073103891</v>
      </c>
      <c r="T209" s="88">
        <f t="shared" si="26"/>
        <v>1.7316764476028046</v>
      </c>
      <c r="U209" s="88">
        <f t="shared" si="26"/>
        <v>1.8009435055069167</v>
      </c>
      <c r="V209" s="88">
        <f t="shared" si="26"/>
        <v>1.8729812457271935</v>
      </c>
      <c r="W209" s="88">
        <f t="shared" si="26"/>
        <v>1.9479004955562813</v>
      </c>
      <c r="X209" s="88">
        <f t="shared" si="26"/>
        <v>2.0258165153785326</v>
      </c>
      <c r="Y209" s="88">
        <f t="shared" si="26"/>
        <v>2.1068491759936738</v>
      </c>
      <c r="Z209" s="89">
        <f t="shared" si="26"/>
        <v>2.1911231430334208</v>
      </c>
    </row>
    <row r="210" spans="1:26" x14ac:dyDescent="0.25">
      <c r="B210" s="10" t="s">
        <v>199</v>
      </c>
      <c r="C210" s="2"/>
      <c r="D210" s="2"/>
      <c r="E210" s="2"/>
      <c r="F210" s="73">
        <f>F209/F208</f>
        <v>1</v>
      </c>
      <c r="G210" s="88">
        <f>G209/G208</f>
        <v>1.0196078431372548</v>
      </c>
      <c r="H210" s="88">
        <f t="shared" ref="H210:Z210" si="27">H209/H208</f>
        <v>1.0396001537870052</v>
      </c>
      <c r="I210" s="88">
        <f t="shared" si="27"/>
        <v>1.0599844705279269</v>
      </c>
      <c r="J210" s="88">
        <f t="shared" si="27"/>
        <v>1.0807684797539647</v>
      </c>
      <c r="K210" s="88">
        <f t="shared" si="27"/>
        <v>1.1019600185726699</v>
      </c>
      <c r="L210" s="88">
        <f t="shared" si="27"/>
        <v>1.1235670777603692</v>
      </c>
      <c r="M210" s="88">
        <f t="shared" si="27"/>
        <v>1.1455978047752786</v>
      </c>
      <c r="N210" s="88">
        <f t="shared" si="27"/>
        <v>1.1680605068296956</v>
      </c>
      <c r="O210" s="88">
        <f t="shared" si="27"/>
        <v>1.1909636540224349</v>
      </c>
      <c r="P210" s="88">
        <f t="shared" si="27"/>
        <v>1.2143158825326787</v>
      </c>
      <c r="Q210" s="88">
        <f t="shared" si="27"/>
        <v>1.2381259978764569</v>
      </c>
      <c r="R210" s="88">
        <f t="shared" si="27"/>
        <v>1.2624029782269757</v>
      </c>
      <c r="S210" s="88">
        <f t="shared" si="27"/>
        <v>1.2871559778000539</v>
      </c>
      <c r="T210" s="88">
        <f t="shared" si="27"/>
        <v>1.3123943303059371</v>
      </c>
      <c r="U210" s="88">
        <f t="shared" si="27"/>
        <v>1.3381275524687986</v>
      </c>
      <c r="V210" s="88">
        <f t="shared" si="27"/>
        <v>1.3643653476152455</v>
      </c>
      <c r="W210" s="88">
        <f t="shared" si="27"/>
        <v>1.3911176093331916</v>
      </c>
      <c r="X210" s="88">
        <f t="shared" si="27"/>
        <v>1.4183944252024698</v>
      </c>
      <c r="Y210" s="88">
        <f t="shared" si="27"/>
        <v>1.4462060805985966</v>
      </c>
      <c r="Z210" s="89">
        <f t="shared" si="27"/>
        <v>1.4745630625711179</v>
      </c>
    </row>
    <row r="211" spans="1:26" x14ac:dyDescent="0.25">
      <c r="B211" s="10"/>
      <c r="C211" s="2"/>
      <c r="D211" s="2"/>
      <c r="E211" s="2"/>
      <c r="F211" s="73"/>
      <c r="G211" s="88"/>
      <c r="H211" s="88"/>
      <c r="I211" s="88"/>
      <c r="J211" s="88"/>
      <c r="K211" s="88"/>
      <c r="L211" s="88"/>
      <c r="M211" s="88"/>
      <c r="N211" s="88"/>
      <c r="O211" s="88"/>
      <c r="P211" s="88"/>
      <c r="Q211" s="88"/>
      <c r="R211" s="88"/>
      <c r="S211" s="88"/>
      <c r="T211" s="88"/>
      <c r="U211" s="88"/>
      <c r="V211" s="88"/>
      <c r="W211" s="88"/>
      <c r="X211" s="88"/>
      <c r="Y211" s="88"/>
      <c r="Z211" s="89"/>
    </row>
    <row r="212" spans="1:26" x14ac:dyDescent="0.25">
      <c r="B212" s="10" t="s">
        <v>195</v>
      </c>
      <c r="C212" s="2"/>
      <c r="D212" s="2"/>
      <c r="E212" s="2"/>
      <c r="F212" s="88">
        <f>D171</f>
        <v>7.81</v>
      </c>
      <c r="G212" s="88">
        <f>F212</f>
        <v>7.81</v>
      </c>
      <c r="H212" s="88">
        <f t="shared" ref="H212:Z212" si="28">G212</f>
        <v>7.81</v>
      </c>
      <c r="I212" s="88">
        <f t="shared" si="28"/>
        <v>7.81</v>
      </c>
      <c r="J212" s="88">
        <f t="shared" si="28"/>
        <v>7.81</v>
      </c>
      <c r="K212" s="88">
        <f t="shared" si="28"/>
        <v>7.81</v>
      </c>
      <c r="L212" s="88">
        <f t="shared" si="28"/>
        <v>7.81</v>
      </c>
      <c r="M212" s="88">
        <f t="shared" si="28"/>
        <v>7.81</v>
      </c>
      <c r="N212" s="88">
        <f t="shared" si="28"/>
        <v>7.81</v>
      </c>
      <c r="O212" s="88">
        <f t="shared" si="28"/>
        <v>7.81</v>
      </c>
      <c r="P212" s="88">
        <f t="shared" si="28"/>
        <v>7.81</v>
      </c>
      <c r="Q212" s="88">
        <f t="shared" si="28"/>
        <v>7.81</v>
      </c>
      <c r="R212" s="88">
        <f t="shared" si="28"/>
        <v>7.81</v>
      </c>
      <c r="S212" s="88">
        <f t="shared" si="28"/>
        <v>7.81</v>
      </c>
      <c r="T212" s="88">
        <f t="shared" si="28"/>
        <v>7.81</v>
      </c>
      <c r="U212" s="88">
        <f t="shared" si="28"/>
        <v>7.81</v>
      </c>
      <c r="V212" s="88">
        <f t="shared" si="28"/>
        <v>7.81</v>
      </c>
      <c r="W212" s="88">
        <f t="shared" si="28"/>
        <v>7.81</v>
      </c>
      <c r="X212" s="88">
        <f t="shared" si="28"/>
        <v>7.81</v>
      </c>
      <c r="Y212" s="88">
        <f t="shared" si="28"/>
        <v>7.81</v>
      </c>
      <c r="Z212" s="89">
        <f t="shared" si="28"/>
        <v>7.81</v>
      </c>
    </row>
    <row r="213" spans="1:26" x14ac:dyDescent="0.25">
      <c r="B213" s="10" t="s">
        <v>196</v>
      </c>
      <c r="C213" s="2"/>
      <c r="D213" s="2"/>
      <c r="E213" s="2"/>
      <c r="F213" s="88">
        <v>0</v>
      </c>
      <c r="G213" s="88">
        <f>F213</f>
        <v>0</v>
      </c>
      <c r="H213" s="88">
        <f t="shared" ref="H213:Z213" si="29">G213</f>
        <v>0</v>
      </c>
      <c r="I213" s="88">
        <f t="shared" si="29"/>
        <v>0</v>
      </c>
      <c r="J213" s="88">
        <f t="shared" si="29"/>
        <v>0</v>
      </c>
      <c r="K213" s="88">
        <f t="shared" si="29"/>
        <v>0</v>
      </c>
      <c r="L213" s="88">
        <f t="shared" si="29"/>
        <v>0</v>
      </c>
      <c r="M213" s="88">
        <f t="shared" si="29"/>
        <v>0</v>
      </c>
      <c r="N213" s="88">
        <f t="shared" si="29"/>
        <v>0</v>
      </c>
      <c r="O213" s="88">
        <f t="shared" si="29"/>
        <v>0</v>
      </c>
      <c r="P213" s="88">
        <f t="shared" si="29"/>
        <v>0</v>
      </c>
      <c r="Q213" s="88">
        <f t="shared" si="29"/>
        <v>0</v>
      </c>
      <c r="R213" s="88">
        <f t="shared" si="29"/>
        <v>0</v>
      </c>
      <c r="S213" s="88">
        <f t="shared" si="29"/>
        <v>0</v>
      </c>
      <c r="T213" s="88">
        <f t="shared" si="29"/>
        <v>0</v>
      </c>
      <c r="U213" s="88">
        <f t="shared" si="29"/>
        <v>0</v>
      </c>
      <c r="V213" s="88">
        <f t="shared" si="29"/>
        <v>0</v>
      </c>
      <c r="W213" s="88">
        <f t="shared" si="29"/>
        <v>0</v>
      </c>
      <c r="X213" s="88">
        <f t="shared" si="29"/>
        <v>0</v>
      </c>
      <c r="Y213" s="88">
        <f t="shared" si="29"/>
        <v>0</v>
      </c>
      <c r="Z213" s="89">
        <f t="shared" si="29"/>
        <v>0</v>
      </c>
    </row>
    <row r="214" spans="1:26" x14ac:dyDescent="0.25">
      <c r="B214" s="10" t="s">
        <v>197</v>
      </c>
      <c r="C214" s="2"/>
      <c r="D214" s="2"/>
      <c r="E214" s="2"/>
      <c r="F214" s="73">
        <f>F212*(1+F213)</f>
        <v>7.81</v>
      </c>
      <c r="G214" s="88">
        <f>G212*(1+G213)</f>
        <v>7.81</v>
      </c>
      <c r="H214" s="88">
        <f t="shared" ref="H214:Z214" si="30">H212*(1+H213)</f>
        <v>7.81</v>
      </c>
      <c r="I214" s="88">
        <f t="shared" si="30"/>
        <v>7.81</v>
      </c>
      <c r="J214" s="88">
        <f t="shared" si="30"/>
        <v>7.81</v>
      </c>
      <c r="K214" s="88">
        <f t="shared" si="30"/>
        <v>7.81</v>
      </c>
      <c r="L214" s="88">
        <f t="shared" si="30"/>
        <v>7.81</v>
      </c>
      <c r="M214" s="88">
        <f t="shared" si="30"/>
        <v>7.81</v>
      </c>
      <c r="N214" s="88">
        <f t="shared" si="30"/>
        <v>7.81</v>
      </c>
      <c r="O214" s="88">
        <f t="shared" si="30"/>
        <v>7.81</v>
      </c>
      <c r="P214" s="88">
        <f t="shared" si="30"/>
        <v>7.81</v>
      </c>
      <c r="Q214" s="88">
        <f t="shared" si="30"/>
        <v>7.81</v>
      </c>
      <c r="R214" s="88">
        <f t="shared" si="30"/>
        <v>7.81</v>
      </c>
      <c r="S214" s="88">
        <f t="shared" si="30"/>
        <v>7.81</v>
      </c>
      <c r="T214" s="88">
        <f t="shared" si="30"/>
        <v>7.81</v>
      </c>
      <c r="U214" s="88">
        <f t="shared" si="30"/>
        <v>7.81</v>
      </c>
      <c r="V214" s="88">
        <f t="shared" si="30"/>
        <v>7.81</v>
      </c>
      <c r="W214" s="88">
        <f t="shared" si="30"/>
        <v>7.81</v>
      </c>
      <c r="X214" s="88">
        <f t="shared" si="30"/>
        <v>7.81</v>
      </c>
      <c r="Y214" s="88">
        <f t="shared" si="30"/>
        <v>7.81</v>
      </c>
      <c r="Z214" s="89">
        <f t="shared" si="30"/>
        <v>7.81</v>
      </c>
    </row>
    <row r="215" spans="1:26" ht="15.75" thickBot="1" x14ac:dyDescent="0.3">
      <c r="B215" s="11" t="s">
        <v>198</v>
      </c>
      <c r="C215" s="12"/>
      <c r="D215" s="12"/>
      <c r="E215" s="12"/>
      <c r="F215" s="35">
        <f>F214*F210</f>
        <v>7.81</v>
      </c>
      <c r="G215" s="90">
        <f>G214*G210</f>
        <v>7.9631372549019597</v>
      </c>
      <c r="H215" s="90">
        <f t="shared" ref="H215:Z215" si="31">H214*H210</f>
        <v>8.1192772010765104</v>
      </c>
      <c r="I215" s="90">
        <f t="shared" si="31"/>
        <v>8.2784787148231089</v>
      </c>
      <c r="J215" s="90">
        <f t="shared" si="31"/>
        <v>8.4408018268784648</v>
      </c>
      <c r="K215" s="90">
        <f t="shared" si="31"/>
        <v>8.6063077450525522</v>
      </c>
      <c r="L215" s="90">
        <f t="shared" si="31"/>
        <v>8.7750588773084832</v>
      </c>
      <c r="M215" s="90">
        <f t="shared" si="31"/>
        <v>8.9471188552949261</v>
      </c>
      <c r="N215" s="90">
        <f t="shared" si="31"/>
        <v>9.1225525583399225</v>
      </c>
      <c r="O215" s="90">
        <f t="shared" si="31"/>
        <v>9.3014261379152163</v>
      </c>
      <c r="P215" s="90">
        <f t="shared" si="31"/>
        <v>9.4838070425802208</v>
      </c>
      <c r="Q215" s="90">
        <f t="shared" si="31"/>
        <v>9.6697640434151282</v>
      </c>
      <c r="R215" s="90">
        <f t="shared" si="31"/>
        <v>9.8593672599526787</v>
      </c>
      <c r="S215" s="90">
        <f t="shared" si="31"/>
        <v>10.05268818661842</v>
      </c>
      <c r="T215" s="90">
        <f t="shared" si="31"/>
        <v>10.249799719689369</v>
      </c>
      <c r="U215" s="90">
        <f t="shared" si="31"/>
        <v>10.450776184781317</v>
      </c>
      <c r="V215" s="90">
        <f t="shared" si="31"/>
        <v>10.655693364875066</v>
      </c>
      <c r="W215" s="90">
        <f t="shared" si="31"/>
        <v>10.864628528892226</v>
      </c>
      <c r="X215" s="90">
        <f t="shared" si="31"/>
        <v>11.077660460831289</v>
      </c>
      <c r="Y215" s="90">
        <f t="shared" si="31"/>
        <v>11.294869489475039</v>
      </c>
      <c r="Z215" s="91">
        <f t="shared" si="31"/>
        <v>11.51633751868043</v>
      </c>
    </row>
    <row r="216" spans="1:26" x14ac:dyDescent="0.25">
      <c r="B216" s="4"/>
      <c r="C216" s="4"/>
      <c r="D216" s="4"/>
      <c r="E216" s="4"/>
      <c r="F216" s="26"/>
      <c r="G216" s="26"/>
      <c r="H216" s="26"/>
      <c r="I216" s="26"/>
      <c r="J216" s="26"/>
      <c r="K216" s="26"/>
      <c r="L216" s="26"/>
      <c r="M216" s="26"/>
      <c r="N216" s="26"/>
      <c r="O216" s="26"/>
      <c r="P216" s="26"/>
    </row>
    <row r="217" spans="1:26" ht="24.75" customHeight="1" x14ac:dyDescent="0.4">
      <c r="B217" s="150" t="s">
        <v>193</v>
      </c>
      <c r="C217" s="152"/>
      <c r="D217" s="152"/>
      <c r="E217" s="152"/>
      <c r="F217" s="264"/>
      <c r="G217" s="264"/>
      <c r="H217" s="264"/>
      <c r="I217" s="264"/>
      <c r="J217" s="264"/>
      <c r="K217" s="264"/>
      <c r="L217" s="264"/>
      <c r="M217" s="264"/>
      <c r="N217" s="264"/>
      <c r="O217" s="264"/>
      <c r="P217" s="264"/>
      <c r="Q217" s="153"/>
      <c r="R217" s="153"/>
      <c r="S217" s="153"/>
      <c r="T217" s="153"/>
      <c r="U217" s="153"/>
      <c r="V217" s="153"/>
      <c r="W217" s="153"/>
      <c r="X217" s="153"/>
      <c r="Y217" s="153"/>
      <c r="Z217" s="153"/>
    </row>
    <row r="218" spans="1:26" ht="15.75" thickBot="1" x14ac:dyDescent="0.3">
      <c r="B218" s="4"/>
      <c r="C218" s="4"/>
      <c r="D218" s="4"/>
      <c r="E218" s="4"/>
      <c r="F218" s="26"/>
      <c r="G218" s="26"/>
      <c r="H218" s="26"/>
      <c r="I218" s="26"/>
      <c r="J218" s="26"/>
      <c r="K218" s="26"/>
      <c r="L218" s="26"/>
      <c r="M218" s="26"/>
      <c r="N218" s="26"/>
      <c r="O218" s="26"/>
      <c r="P218" s="26"/>
    </row>
    <row r="219" spans="1:26" x14ac:dyDescent="0.25">
      <c r="A219" s="1"/>
      <c r="B219" s="48" t="s">
        <v>260</v>
      </c>
      <c r="C219" s="49"/>
      <c r="D219" s="49"/>
      <c r="E219" s="50"/>
      <c r="F219" s="50"/>
      <c r="G219" s="50"/>
      <c r="H219" s="50"/>
      <c r="I219" s="50"/>
      <c r="J219" s="50"/>
      <c r="K219" s="50"/>
      <c r="L219" s="50"/>
      <c r="M219" s="50"/>
      <c r="N219" s="50"/>
      <c r="O219" s="50"/>
      <c r="P219" s="50"/>
      <c r="Q219" s="50"/>
      <c r="R219" s="50"/>
      <c r="S219" s="50"/>
      <c r="T219" s="50"/>
      <c r="U219" s="50"/>
      <c r="V219" s="50"/>
      <c r="W219" s="50"/>
      <c r="X219" s="50"/>
      <c r="Y219" s="50"/>
      <c r="Z219" s="51"/>
    </row>
    <row r="220" spans="1:26" x14ac:dyDescent="0.25">
      <c r="A220" s="1"/>
      <c r="B220" s="154"/>
      <c r="C220" s="142"/>
      <c r="D220" s="142"/>
      <c r="E220" s="143" t="s">
        <v>8</v>
      </c>
      <c r="F220" s="144">
        <v>0</v>
      </c>
      <c r="G220" s="144">
        <v>1</v>
      </c>
      <c r="H220" s="144">
        <v>2</v>
      </c>
      <c r="I220" s="144">
        <v>3</v>
      </c>
      <c r="J220" s="144">
        <v>4</v>
      </c>
      <c r="K220" s="144">
        <v>5</v>
      </c>
      <c r="L220" s="144">
        <v>6</v>
      </c>
      <c r="M220" s="144">
        <v>7</v>
      </c>
      <c r="N220" s="144">
        <v>8</v>
      </c>
      <c r="O220" s="144">
        <v>9</v>
      </c>
      <c r="P220" s="144">
        <v>10</v>
      </c>
      <c r="Q220" s="144">
        <v>11</v>
      </c>
      <c r="R220" s="144">
        <v>12</v>
      </c>
      <c r="S220" s="144">
        <v>13</v>
      </c>
      <c r="T220" s="144">
        <v>14</v>
      </c>
      <c r="U220" s="144">
        <v>15</v>
      </c>
      <c r="V220" s="144">
        <v>16</v>
      </c>
      <c r="W220" s="144">
        <v>17</v>
      </c>
      <c r="X220" s="144">
        <v>18</v>
      </c>
      <c r="Y220" s="144">
        <v>19</v>
      </c>
      <c r="Z220" s="145">
        <v>20</v>
      </c>
    </row>
    <row r="221" spans="1:26" x14ac:dyDescent="0.25">
      <c r="B221" s="9"/>
      <c r="C221" s="2"/>
      <c r="D221" s="2"/>
      <c r="E221" s="2"/>
      <c r="F221" s="74"/>
      <c r="G221" s="74"/>
      <c r="H221" s="74"/>
      <c r="I221" s="74"/>
      <c r="J221" s="74"/>
      <c r="K221" s="74"/>
      <c r="L221" s="74"/>
      <c r="M221" s="74"/>
      <c r="N221" s="74"/>
      <c r="O221" s="74"/>
      <c r="P221" s="74"/>
      <c r="Q221" s="74"/>
      <c r="R221" s="74"/>
      <c r="S221" s="74"/>
      <c r="T221" s="74"/>
      <c r="U221" s="74"/>
      <c r="V221" s="74"/>
      <c r="W221" s="74"/>
      <c r="X221" s="74"/>
      <c r="Y221" s="74"/>
      <c r="Z221" s="75"/>
    </row>
    <row r="222" spans="1:26" s="69" customFormat="1" ht="15.75" x14ac:dyDescent="0.25">
      <c r="B222" s="107" t="s">
        <v>64</v>
      </c>
      <c r="C222" s="4"/>
      <c r="D222" s="4"/>
      <c r="E222" s="4"/>
      <c r="F222" s="76"/>
      <c r="G222" s="76"/>
      <c r="H222" s="76"/>
      <c r="I222" s="76"/>
      <c r="J222" s="76"/>
      <c r="K222" s="76"/>
      <c r="L222" s="76"/>
      <c r="M222" s="76"/>
      <c r="N222" s="76"/>
      <c r="O222" s="76"/>
      <c r="P222" s="76"/>
      <c r="Q222" s="76"/>
      <c r="R222" s="76"/>
      <c r="S222" s="76"/>
      <c r="T222" s="76"/>
      <c r="U222" s="76"/>
      <c r="V222" s="76"/>
      <c r="W222" s="76"/>
      <c r="X222" s="76"/>
      <c r="Y222" s="76"/>
      <c r="Z222" s="77"/>
    </row>
    <row r="223" spans="1:26" s="69" customFormat="1" x14ac:dyDescent="0.25">
      <c r="B223" s="106" t="s">
        <v>60</v>
      </c>
      <c r="C223" s="4"/>
      <c r="D223" s="4"/>
      <c r="E223" s="4"/>
      <c r="F223" s="76">
        <f>$F$157*F205*$F$14</f>
        <v>4236.0515021459223</v>
      </c>
      <c r="G223" s="76">
        <f t="shared" ref="G223:Z223" si="32">$F$157*G205*$F$14</f>
        <v>4236.0515021459223</v>
      </c>
      <c r="H223" s="76">
        <f t="shared" si="32"/>
        <v>4236.0515021459223</v>
      </c>
      <c r="I223" s="76">
        <f t="shared" si="32"/>
        <v>4236.0515021459223</v>
      </c>
      <c r="J223" s="76">
        <f t="shared" si="32"/>
        <v>4236.0515021459223</v>
      </c>
      <c r="K223" s="76">
        <f t="shared" si="32"/>
        <v>4236.0515021459223</v>
      </c>
      <c r="L223" s="76">
        <f t="shared" si="32"/>
        <v>4236.0515021459223</v>
      </c>
      <c r="M223" s="76">
        <f t="shared" si="32"/>
        <v>4236.0515021459223</v>
      </c>
      <c r="N223" s="76">
        <f t="shared" si="32"/>
        <v>4236.0515021459223</v>
      </c>
      <c r="O223" s="76">
        <f t="shared" si="32"/>
        <v>4236.0515021459223</v>
      </c>
      <c r="P223" s="76">
        <f t="shared" si="32"/>
        <v>4236.0515021459223</v>
      </c>
      <c r="Q223" s="76">
        <f t="shared" si="32"/>
        <v>4236.0515021459223</v>
      </c>
      <c r="R223" s="76">
        <f t="shared" si="32"/>
        <v>4236.0515021459223</v>
      </c>
      <c r="S223" s="76">
        <f t="shared" si="32"/>
        <v>4236.0515021459223</v>
      </c>
      <c r="T223" s="76">
        <f t="shared" si="32"/>
        <v>4236.0515021459223</v>
      </c>
      <c r="U223" s="76">
        <f t="shared" si="32"/>
        <v>4236.0515021459223</v>
      </c>
      <c r="V223" s="76">
        <f t="shared" si="32"/>
        <v>4236.0515021459223</v>
      </c>
      <c r="W223" s="76">
        <f t="shared" si="32"/>
        <v>4236.0515021459223</v>
      </c>
      <c r="X223" s="76">
        <f t="shared" si="32"/>
        <v>4236.0515021459223</v>
      </c>
      <c r="Y223" s="76">
        <f t="shared" si="32"/>
        <v>4236.0515021459223</v>
      </c>
      <c r="Z223" s="77">
        <f t="shared" si="32"/>
        <v>4236.0515021459223</v>
      </c>
    </row>
    <row r="224" spans="1:26" x14ac:dyDescent="0.25">
      <c r="A224" s="27"/>
      <c r="B224" s="9" t="s">
        <v>61</v>
      </c>
      <c r="C224" s="2"/>
      <c r="D224" s="2"/>
      <c r="E224" s="2"/>
      <c r="F224" s="76">
        <f>($F$158*F206+$F$138)*$F$14</f>
        <v>2309.4311673819739</v>
      </c>
      <c r="G224" s="76">
        <f>$F$158*G206*$F$14</f>
        <v>1504.2749790557937</v>
      </c>
      <c r="H224" s="76">
        <f>$F$158*H206*$F$14</f>
        <v>1519.3177288463517</v>
      </c>
      <c r="I224" s="76">
        <f>($F$158*I206+$F$138)*$F$14</f>
        <v>2354.560906134815</v>
      </c>
      <c r="J224" s="76">
        <f>$F$158*J206*$F$14</f>
        <v>1549.8560151961633</v>
      </c>
      <c r="K224" s="76">
        <f>$F$158*K206*$F$14</f>
        <v>1565.3545753481249</v>
      </c>
      <c r="L224" s="76">
        <f>($F$158*L206+$F$138)*$F$14</f>
        <v>2401.058121101606</v>
      </c>
      <c r="M224" s="76">
        <f>$F$158*M206*$F$14</f>
        <v>1596.8182023126221</v>
      </c>
      <c r="N224" s="76">
        <f>$F$158*N206*$F$14</f>
        <v>1612.7863843357484</v>
      </c>
      <c r="O224" s="76">
        <f>($F$158*O206+$F$138)*$F$14</f>
        <v>2448.9642481791061</v>
      </c>
      <c r="P224" s="76">
        <f>$F$158*P206*$F$14</f>
        <v>1645.2033906608972</v>
      </c>
      <c r="Q224" s="76">
        <f>$F$158*Q206*$F$14</f>
        <v>1661.6554245675061</v>
      </c>
      <c r="R224" s="76">
        <f>($F$158*R206+$F$138)*$F$14</f>
        <v>2498.321978813181</v>
      </c>
      <c r="S224" s="76">
        <f>$F$158*S206*$F$14</f>
        <v>1695.054698601313</v>
      </c>
      <c r="T224" s="76">
        <f>$F$158*T206*$F$14</f>
        <v>1712.005245587326</v>
      </c>
      <c r="U224" s="76">
        <f>($F$158*U206+$F$138)*$F$14</f>
        <v>2549.1752980431993</v>
      </c>
      <c r="V224" s="76">
        <f>$F$158*V206*$F$14</f>
        <v>1746.4165510236312</v>
      </c>
      <c r="W224" s="76">
        <f>$F$158*W206*$F$14</f>
        <v>1763.8807165338676</v>
      </c>
      <c r="X224" s="76">
        <f>($F$158*X206+$F$138)*$F$14</f>
        <v>2601.5695236992065</v>
      </c>
      <c r="Y224" s="76">
        <f>$F$158*Y206*$F$14</f>
        <v>1799.3347189361982</v>
      </c>
      <c r="Z224" s="77">
        <f>$F$158*Z206*$F$14</f>
        <v>1817.3280661255606</v>
      </c>
    </row>
    <row r="225" spans="1:26" x14ac:dyDescent="0.25">
      <c r="A225" s="27"/>
      <c r="B225" s="9" t="s">
        <v>62</v>
      </c>
      <c r="C225" s="2"/>
      <c r="D225" s="2"/>
      <c r="E225" s="2"/>
      <c r="F225" s="76">
        <f t="shared" ref="F225:Z225" si="33">$F$14*$F$16*$F$24*$F$19*$F$22*F200*F204*(1-$F$42)</f>
        <v>3573.3043499999999</v>
      </c>
      <c r="G225" s="76">
        <f t="shared" si="33"/>
        <v>3573.3043499999999</v>
      </c>
      <c r="H225" s="76">
        <f t="shared" si="33"/>
        <v>3573.3043499999999</v>
      </c>
      <c r="I225" s="76">
        <f t="shared" si="33"/>
        <v>3573.3043499999999</v>
      </c>
      <c r="J225" s="76">
        <f t="shared" si="33"/>
        <v>3573.3043499999999</v>
      </c>
      <c r="K225" s="76">
        <f t="shared" si="33"/>
        <v>3573.3043499999999</v>
      </c>
      <c r="L225" s="76">
        <f t="shared" si="33"/>
        <v>3573.3043499999999</v>
      </c>
      <c r="M225" s="76">
        <f t="shared" si="33"/>
        <v>3573.3043499999999</v>
      </c>
      <c r="N225" s="76">
        <f t="shared" si="33"/>
        <v>3573.3043499999999</v>
      </c>
      <c r="O225" s="76">
        <f t="shared" si="33"/>
        <v>3573.3043499999999</v>
      </c>
      <c r="P225" s="76">
        <f t="shared" si="33"/>
        <v>3573.3043499999999</v>
      </c>
      <c r="Q225" s="76">
        <f t="shared" si="33"/>
        <v>3573.3043499999999</v>
      </c>
      <c r="R225" s="76">
        <f t="shared" si="33"/>
        <v>3573.3043499999999</v>
      </c>
      <c r="S225" s="76">
        <f t="shared" si="33"/>
        <v>3573.3043499999999</v>
      </c>
      <c r="T225" s="76">
        <f t="shared" si="33"/>
        <v>3573.3043499999999</v>
      </c>
      <c r="U225" s="76">
        <f t="shared" si="33"/>
        <v>3573.3043499999999</v>
      </c>
      <c r="V225" s="76">
        <f t="shared" si="33"/>
        <v>3573.3043499999999</v>
      </c>
      <c r="W225" s="76">
        <f t="shared" si="33"/>
        <v>3573.3043499999999</v>
      </c>
      <c r="X225" s="76">
        <f t="shared" si="33"/>
        <v>3573.3043499999999</v>
      </c>
      <c r="Y225" s="76">
        <f t="shared" si="33"/>
        <v>3573.3043499999999</v>
      </c>
      <c r="Z225" s="77">
        <f t="shared" si="33"/>
        <v>3573.3043499999999</v>
      </c>
    </row>
    <row r="226" spans="1:26" x14ac:dyDescent="0.25">
      <c r="A226" s="27"/>
      <c r="B226" s="9" t="s">
        <v>63</v>
      </c>
      <c r="C226" s="2"/>
      <c r="D226" s="2"/>
      <c r="E226" s="2"/>
      <c r="F226" s="76">
        <f t="shared" ref="F226:Z226" si="34">$F$14*$F$16*$F$25*$F$19*F200*F204*(1-$F$42)</f>
        <v>7579.7364999999982</v>
      </c>
      <c r="G226" s="76">
        <f t="shared" si="34"/>
        <v>7579.7364999999982</v>
      </c>
      <c r="H226" s="76">
        <f t="shared" si="34"/>
        <v>7579.7364999999982</v>
      </c>
      <c r="I226" s="76">
        <f t="shared" si="34"/>
        <v>7579.7364999999982</v>
      </c>
      <c r="J226" s="76">
        <f t="shared" si="34"/>
        <v>7579.7364999999982</v>
      </c>
      <c r="K226" s="76">
        <f t="shared" si="34"/>
        <v>7579.7364999999982</v>
      </c>
      <c r="L226" s="76">
        <f t="shared" si="34"/>
        <v>7579.7364999999982</v>
      </c>
      <c r="M226" s="76">
        <f t="shared" si="34"/>
        <v>7579.7364999999982</v>
      </c>
      <c r="N226" s="76">
        <f t="shared" si="34"/>
        <v>7579.7364999999982</v>
      </c>
      <c r="O226" s="76">
        <f t="shared" si="34"/>
        <v>7579.7364999999982</v>
      </c>
      <c r="P226" s="76">
        <f t="shared" si="34"/>
        <v>7579.7364999999982</v>
      </c>
      <c r="Q226" s="76">
        <f t="shared" si="34"/>
        <v>7579.7364999999982</v>
      </c>
      <c r="R226" s="76">
        <f t="shared" si="34"/>
        <v>7579.7364999999982</v>
      </c>
      <c r="S226" s="76">
        <f t="shared" si="34"/>
        <v>7579.7364999999982</v>
      </c>
      <c r="T226" s="76">
        <f t="shared" si="34"/>
        <v>7579.7364999999982</v>
      </c>
      <c r="U226" s="76">
        <f t="shared" si="34"/>
        <v>7579.7364999999982</v>
      </c>
      <c r="V226" s="76">
        <f t="shared" si="34"/>
        <v>7579.7364999999982</v>
      </c>
      <c r="W226" s="76">
        <f t="shared" si="34"/>
        <v>7579.7364999999982</v>
      </c>
      <c r="X226" s="76">
        <f t="shared" si="34"/>
        <v>7579.7364999999982</v>
      </c>
      <c r="Y226" s="76">
        <f t="shared" si="34"/>
        <v>7579.7364999999982</v>
      </c>
      <c r="Z226" s="77">
        <f t="shared" si="34"/>
        <v>7579.7364999999982</v>
      </c>
    </row>
    <row r="227" spans="1:26" x14ac:dyDescent="0.25">
      <c r="A227" s="27"/>
      <c r="B227" s="56" t="s">
        <v>57</v>
      </c>
      <c r="C227" s="39"/>
      <c r="D227" s="39"/>
      <c r="E227" s="39"/>
      <c r="F227" s="109">
        <f>SUM(F225:F226)-SUM(F223:F224)</f>
        <v>4607.5581804721014</v>
      </c>
      <c r="G227" s="109">
        <f t="shared" ref="G227:Z227" si="35">SUM(G225:G226)-SUM(G223:G224)</f>
        <v>5412.7143687982816</v>
      </c>
      <c r="H227" s="109">
        <f t="shared" si="35"/>
        <v>5397.6716190077241</v>
      </c>
      <c r="I227" s="109">
        <f t="shared" si="35"/>
        <v>4562.4284417192603</v>
      </c>
      <c r="J227" s="109">
        <f t="shared" si="35"/>
        <v>5367.1333326579115</v>
      </c>
      <c r="K227" s="109">
        <f t="shared" si="35"/>
        <v>5351.6347725059504</v>
      </c>
      <c r="L227" s="109">
        <f t="shared" si="35"/>
        <v>4515.9312267524692</v>
      </c>
      <c r="M227" s="109">
        <f t="shared" si="35"/>
        <v>5320.1711455414534</v>
      </c>
      <c r="N227" s="109">
        <f t="shared" si="35"/>
        <v>5304.2029635183271</v>
      </c>
      <c r="O227" s="109">
        <f t="shared" si="35"/>
        <v>4468.0250996749692</v>
      </c>
      <c r="P227" s="109">
        <f t="shared" si="35"/>
        <v>5271.7859571931785</v>
      </c>
      <c r="Q227" s="109">
        <f t="shared" si="35"/>
        <v>5255.3339232865692</v>
      </c>
      <c r="R227" s="109">
        <f t="shared" si="35"/>
        <v>4418.6673690408943</v>
      </c>
      <c r="S227" s="109">
        <f t="shared" si="35"/>
        <v>5221.934649252762</v>
      </c>
      <c r="T227" s="109">
        <f t="shared" si="35"/>
        <v>5204.9841022667497</v>
      </c>
      <c r="U227" s="109">
        <f t="shared" si="35"/>
        <v>4367.814049810876</v>
      </c>
      <c r="V227" s="109">
        <f t="shared" si="35"/>
        <v>5170.5727968304436</v>
      </c>
      <c r="W227" s="109">
        <f t="shared" si="35"/>
        <v>5153.1086313202077</v>
      </c>
      <c r="X227" s="109">
        <f t="shared" si="35"/>
        <v>4315.4198241548693</v>
      </c>
      <c r="Y227" s="109">
        <f t="shared" si="35"/>
        <v>5117.6546289178768</v>
      </c>
      <c r="Z227" s="110">
        <f t="shared" si="35"/>
        <v>5099.661281728515</v>
      </c>
    </row>
    <row r="228" spans="1:26" x14ac:dyDescent="0.25">
      <c r="A228" s="27"/>
      <c r="B228" s="9"/>
      <c r="C228" s="2"/>
      <c r="D228" s="2"/>
      <c r="E228" s="2"/>
      <c r="F228" s="76"/>
      <c r="G228" s="76"/>
      <c r="H228" s="76"/>
      <c r="I228" s="76"/>
      <c r="J228" s="76"/>
      <c r="K228" s="76"/>
      <c r="L228" s="76"/>
      <c r="M228" s="76"/>
      <c r="N228" s="76"/>
      <c r="O228" s="76"/>
      <c r="P228" s="76"/>
      <c r="Q228" s="76"/>
      <c r="R228" s="76"/>
      <c r="S228" s="76"/>
      <c r="T228" s="76"/>
      <c r="U228" s="76"/>
      <c r="V228" s="76"/>
      <c r="W228" s="76"/>
      <c r="X228" s="76"/>
      <c r="Y228" s="76"/>
      <c r="Z228" s="77"/>
    </row>
    <row r="229" spans="1:26" ht="15.75" x14ac:dyDescent="0.25">
      <c r="A229" s="38"/>
      <c r="B229" s="108" t="s">
        <v>65</v>
      </c>
      <c r="C229" s="2"/>
      <c r="D229" s="2"/>
      <c r="E229" s="2"/>
      <c r="F229" s="76"/>
      <c r="G229" s="76"/>
      <c r="H229" s="76"/>
      <c r="I229" s="76"/>
      <c r="J229" s="76"/>
      <c r="K229" s="76"/>
      <c r="L229" s="76"/>
      <c r="M229" s="76"/>
      <c r="N229" s="76"/>
      <c r="O229" s="76"/>
      <c r="P229" s="76"/>
      <c r="Q229" s="78"/>
      <c r="R229" s="78"/>
      <c r="S229" s="78"/>
      <c r="T229" s="78"/>
      <c r="U229" s="78"/>
      <c r="V229" s="78"/>
      <c r="W229" s="78"/>
      <c r="X229" s="78"/>
      <c r="Y229" s="78"/>
      <c r="Z229" s="79"/>
    </row>
    <row r="230" spans="1:26" x14ac:dyDescent="0.25">
      <c r="A230" s="38"/>
      <c r="B230" s="106" t="s">
        <v>60</v>
      </c>
      <c r="C230" s="2"/>
      <c r="D230" s="2"/>
      <c r="E230" s="2"/>
      <c r="F230" s="76">
        <f>$F$157*F205*$F$14</f>
        <v>4236.0515021459223</v>
      </c>
      <c r="G230" s="76">
        <f t="shared" ref="G230:Z230" si="36">$H$157*G205*$H$14</f>
        <v>6309.0128755364813</v>
      </c>
      <c r="H230" s="76">
        <f t="shared" si="36"/>
        <v>6309.0128755364813</v>
      </c>
      <c r="I230" s="76">
        <f t="shared" si="36"/>
        <v>6309.0128755364813</v>
      </c>
      <c r="J230" s="76">
        <f t="shared" si="36"/>
        <v>6309.0128755364813</v>
      </c>
      <c r="K230" s="76">
        <f t="shared" si="36"/>
        <v>6309.0128755364813</v>
      </c>
      <c r="L230" s="76">
        <f t="shared" si="36"/>
        <v>6309.0128755364813</v>
      </c>
      <c r="M230" s="76">
        <f t="shared" si="36"/>
        <v>6309.0128755364813</v>
      </c>
      <c r="N230" s="76">
        <f t="shared" si="36"/>
        <v>6309.0128755364813</v>
      </c>
      <c r="O230" s="76">
        <f t="shared" si="36"/>
        <v>6309.0128755364813</v>
      </c>
      <c r="P230" s="76">
        <f t="shared" si="36"/>
        <v>6309.0128755364813</v>
      </c>
      <c r="Q230" s="76">
        <f t="shared" si="36"/>
        <v>6309.0128755364813</v>
      </c>
      <c r="R230" s="76">
        <f t="shared" si="36"/>
        <v>6309.0128755364813</v>
      </c>
      <c r="S230" s="76">
        <f t="shared" si="36"/>
        <v>6309.0128755364813</v>
      </c>
      <c r="T230" s="76">
        <f t="shared" si="36"/>
        <v>6309.0128755364813</v>
      </c>
      <c r="U230" s="76">
        <f t="shared" si="36"/>
        <v>6309.0128755364813</v>
      </c>
      <c r="V230" s="76">
        <f t="shared" si="36"/>
        <v>6309.0128755364813</v>
      </c>
      <c r="W230" s="76">
        <f t="shared" si="36"/>
        <v>6309.0128755364813</v>
      </c>
      <c r="X230" s="76">
        <f t="shared" si="36"/>
        <v>6309.0128755364813</v>
      </c>
      <c r="Y230" s="76">
        <f t="shared" si="36"/>
        <v>6309.0128755364813</v>
      </c>
      <c r="Z230" s="77">
        <f t="shared" si="36"/>
        <v>6309.0128755364813</v>
      </c>
    </row>
    <row r="231" spans="1:26" x14ac:dyDescent="0.25">
      <c r="A231" s="38"/>
      <c r="B231" s="9" t="s">
        <v>61</v>
      </c>
      <c r="C231" s="2"/>
      <c r="D231" s="2"/>
      <c r="E231" s="2"/>
      <c r="F231" s="76">
        <f>($F$158*F206+$F$138)*$F$14</f>
        <v>2309.4311673819739</v>
      </c>
      <c r="G231" s="76">
        <f>$H$158*G206*$F$14</f>
        <v>1943.7477973676687</v>
      </c>
      <c r="H231" s="76">
        <f>$H$158*H206*$F$14</f>
        <v>1963.1852753413452</v>
      </c>
      <c r="I231" s="76">
        <f>($H$158*I206+$F$138)*$F$14</f>
        <v>2802.8671280947583</v>
      </c>
      <c r="J231" s="76">
        <f>$H$158*J206*$F$14</f>
        <v>2002.6452993757061</v>
      </c>
      <c r="K231" s="76">
        <f>$H$158*K206*$F$14</f>
        <v>2022.6717523694631</v>
      </c>
      <c r="L231" s="76">
        <f>($H$158*L206+$F$138)*$F$14</f>
        <v>2862.9484698931578</v>
      </c>
      <c r="M231" s="76">
        <f>$H$158*M206*$F$14</f>
        <v>2063.327454592089</v>
      </c>
      <c r="N231" s="76">
        <f>$H$158*N206*$F$14</f>
        <v>2083.9607291380103</v>
      </c>
      <c r="O231" s="76">
        <f>($H$158*O206+$F$138)*$F$14</f>
        <v>2924.8503364293902</v>
      </c>
      <c r="P231" s="76">
        <f>$H$158*P206*$F$14</f>
        <v>2125.8483397936843</v>
      </c>
      <c r="Q231" s="76">
        <f>$H$158*Q206*$F$14</f>
        <v>2147.1068231916215</v>
      </c>
      <c r="R231" s="76">
        <f>($H$158*R206+$F$138)*$F$14</f>
        <v>2988.6278914235377</v>
      </c>
      <c r="S231" s="76">
        <f>$H$158*S206*$F$14</f>
        <v>2190.263670337773</v>
      </c>
      <c r="T231" s="76">
        <f>$H$158*T206*$F$14</f>
        <v>2212.1663070411505</v>
      </c>
      <c r="U231" s="76">
        <f>($H$158*U206+$F$138)*$F$14</f>
        <v>3054.3379701115628</v>
      </c>
      <c r="V231" s="76">
        <f>$H$158*V206*$F$14</f>
        <v>2256.6308498126778</v>
      </c>
      <c r="W231" s="76">
        <f>$H$158*W206*$F$14</f>
        <v>2279.1971583108048</v>
      </c>
      <c r="X231" s="76">
        <f>($H$158*X206+$F$138)*$F$14</f>
        <v>3122.0391298939126</v>
      </c>
      <c r="Y231" s="76">
        <f>$H$158*Y206*$F$14</f>
        <v>2325.0090211928518</v>
      </c>
      <c r="Z231" s="77">
        <f>$H$158*Z206*$F$14</f>
        <v>2348.2591114047805</v>
      </c>
    </row>
    <row r="232" spans="1:26" x14ac:dyDescent="0.25">
      <c r="A232" s="27"/>
      <c r="B232" s="9" t="s">
        <v>62</v>
      </c>
      <c r="C232" s="2"/>
      <c r="D232" s="2"/>
      <c r="E232" s="2"/>
      <c r="F232" s="76">
        <f>$F$14*$F$16*$F$24*$F$19*$F$22*F201*F204*(1-$H$42)</f>
        <v>3573.3043499999999</v>
      </c>
      <c r="G232" s="76">
        <f>$H$14*$F$16*$F$24*$F$19*$F$22*G201*G204*(1-$H$42)</f>
        <v>3694.7966979000003</v>
      </c>
      <c r="H232" s="76">
        <f t="shared" ref="H232:Z232" si="37">$H$14*$F$16*$H$24*$H$19*$H$22*H201*H204*(1-$H$42)</f>
        <v>1452.3688358890477</v>
      </c>
      <c r="I232" s="76">
        <f t="shared" si="37"/>
        <v>1501.7493763092755</v>
      </c>
      <c r="J232" s="76">
        <f t="shared" si="37"/>
        <v>1552.8088551037908</v>
      </c>
      <c r="K232" s="76">
        <f t="shared" si="37"/>
        <v>1552.8088551037908</v>
      </c>
      <c r="L232" s="76">
        <f t="shared" si="37"/>
        <v>1552.8088551037908</v>
      </c>
      <c r="M232" s="76">
        <f t="shared" si="37"/>
        <v>1552.8088551037908</v>
      </c>
      <c r="N232" s="76">
        <f t="shared" si="37"/>
        <v>1552.8088551037908</v>
      </c>
      <c r="O232" s="76">
        <f t="shared" si="37"/>
        <v>1552.8088551037908</v>
      </c>
      <c r="P232" s="76">
        <f t="shared" si="37"/>
        <v>1552.8088551037908</v>
      </c>
      <c r="Q232" s="76">
        <f t="shared" si="37"/>
        <v>1552.8088551037908</v>
      </c>
      <c r="R232" s="76">
        <f t="shared" si="37"/>
        <v>1552.8088551037908</v>
      </c>
      <c r="S232" s="76">
        <f t="shared" si="37"/>
        <v>1552.8088551037908</v>
      </c>
      <c r="T232" s="76">
        <f t="shared" si="37"/>
        <v>1552.8088551037908</v>
      </c>
      <c r="U232" s="76">
        <f t="shared" si="37"/>
        <v>1552.8088551037908</v>
      </c>
      <c r="V232" s="76">
        <f t="shared" si="37"/>
        <v>1552.8088551037908</v>
      </c>
      <c r="W232" s="76">
        <f t="shared" si="37"/>
        <v>1552.8088551037908</v>
      </c>
      <c r="X232" s="76">
        <f t="shared" si="37"/>
        <v>1552.8088551037908</v>
      </c>
      <c r="Y232" s="76">
        <f t="shared" si="37"/>
        <v>1552.8088551037908</v>
      </c>
      <c r="Z232" s="77">
        <f t="shared" si="37"/>
        <v>1552.8088551037908</v>
      </c>
    </row>
    <row r="233" spans="1:26" x14ac:dyDescent="0.25">
      <c r="A233" s="27"/>
      <c r="B233" s="9" t="s">
        <v>63</v>
      </c>
      <c r="C233" s="2"/>
      <c r="D233" s="2"/>
      <c r="E233" s="2"/>
      <c r="F233" s="76">
        <f>$F$14*$F$16*$F$25*$F$19*F201*F204*(1-$H$42)</f>
        <v>7579.7364999999982</v>
      </c>
      <c r="G233" s="76">
        <f>$H$14*$F$16*$F$25*$F$19*G201*G204*(1-$H$42)</f>
        <v>7837.4475409999977</v>
      </c>
      <c r="H233" s="76">
        <f t="shared" ref="H233:Z233" si="38">$H$14*$F$16*$H$25*$H$19*H201*H204*(1-$H$42)</f>
        <v>12941.9005178232</v>
      </c>
      <c r="I233" s="76">
        <f t="shared" si="38"/>
        <v>13381.92513542919</v>
      </c>
      <c r="J233" s="76">
        <f t="shared" si="38"/>
        <v>13836.910590033782</v>
      </c>
      <c r="K233" s="76">
        <f t="shared" si="38"/>
        <v>13836.910590033782</v>
      </c>
      <c r="L233" s="76">
        <f t="shared" si="38"/>
        <v>13836.910590033782</v>
      </c>
      <c r="M233" s="76">
        <f t="shared" si="38"/>
        <v>13836.910590033782</v>
      </c>
      <c r="N233" s="76">
        <f t="shared" si="38"/>
        <v>13836.910590033782</v>
      </c>
      <c r="O233" s="76">
        <f t="shared" si="38"/>
        <v>13836.910590033782</v>
      </c>
      <c r="P233" s="76">
        <f t="shared" si="38"/>
        <v>13836.910590033782</v>
      </c>
      <c r="Q233" s="76">
        <f t="shared" si="38"/>
        <v>13836.910590033782</v>
      </c>
      <c r="R233" s="76">
        <f t="shared" si="38"/>
        <v>13836.910590033782</v>
      </c>
      <c r="S233" s="76">
        <f t="shared" si="38"/>
        <v>13836.910590033782</v>
      </c>
      <c r="T233" s="76">
        <f t="shared" si="38"/>
        <v>13836.910590033782</v>
      </c>
      <c r="U233" s="76">
        <f t="shared" si="38"/>
        <v>13836.910590033782</v>
      </c>
      <c r="V233" s="76">
        <f t="shared" si="38"/>
        <v>13836.910590033782</v>
      </c>
      <c r="W233" s="76">
        <f t="shared" si="38"/>
        <v>13836.910590033782</v>
      </c>
      <c r="X233" s="76">
        <f t="shared" si="38"/>
        <v>13836.910590033782</v>
      </c>
      <c r="Y233" s="76">
        <f t="shared" si="38"/>
        <v>13836.910590033782</v>
      </c>
      <c r="Z233" s="77">
        <f t="shared" si="38"/>
        <v>13836.910590033782</v>
      </c>
    </row>
    <row r="234" spans="1:26" x14ac:dyDescent="0.25">
      <c r="A234" s="27"/>
      <c r="B234" s="56" t="s">
        <v>57</v>
      </c>
      <c r="C234" s="39"/>
      <c r="D234" s="39"/>
      <c r="E234" s="39"/>
      <c r="F234" s="109">
        <f>SUM(F232:F233)-SUM(F230:F231)</f>
        <v>4607.5581804721014</v>
      </c>
      <c r="G234" s="109">
        <f t="shared" ref="G234:Z234" si="39">SUM(G232:G233)-SUM(G230:G231)</f>
        <v>3279.483565995848</v>
      </c>
      <c r="H234" s="109">
        <f t="shared" si="39"/>
        <v>6122.0712028344205</v>
      </c>
      <c r="I234" s="109">
        <f t="shared" si="39"/>
        <v>5771.7945081072266</v>
      </c>
      <c r="J234" s="109">
        <f t="shared" si="39"/>
        <v>7078.0612702253857</v>
      </c>
      <c r="K234" s="109">
        <f t="shared" si="39"/>
        <v>7058.034817231628</v>
      </c>
      <c r="L234" s="109">
        <f t="shared" si="39"/>
        <v>6217.7580997079331</v>
      </c>
      <c r="M234" s="109">
        <f t="shared" si="39"/>
        <v>7017.3791150090019</v>
      </c>
      <c r="N234" s="109">
        <f t="shared" si="39"/>
        <v>6996.7458404630815</v>
      </c>
      <c r="O234" s="109">
        <f t="shared" si="39"/>
        <v>6155.8562331717003</v>
      </c>
      <c r="P234" s="109">
        <f t="shared" si="39"/>
        <v>6954.858229807407</v>
      </c>
      <c r="Q234" s="109">
        <f t="shared" si="39"/>
        <v>6933.5997464094689</v>
      </c>
      <c r="R234" s="109">
        <f t="shared" si="39"/>
        <v>6092.0786781775532</v>
      </c>
      <c r="S234" s="109">
        <f t="shared" si="39"/>
        <v>6890.4428992633184</v>
      </c>
      <c r="T234" s="109">
        <f t="shared" si="39"/>
        <v>6868.5402625599418</v>
      </c>
      <c r="U234" s="109">
        <f t="shared" si="39"/>
        <v>6026.3685994895277</v>
      </c>
      <c r="V234" s="109">
        <f t="shared" si="39"/>
        <v>6824.0757197884141</v>
      </c>
      <c r="W234" s="109">
        <f t="shared" si="39"/>
        <v>6801.5094112902862</v>
      </c>
      <c r="X234" s="109">
        <f t="shared" si="39"/>
        <v>5958.6674397071783</v>
      </c>
      <c r="Y234" s="109">
        <f t="shared" si="39"/>
        <v>6755.6975484082395</v>
      </c>
      <c r="Z234" s="110">
        <f t="shared" si="39"/>
        <v>6732.4474581963113</v>
      </c>
    </row>
    <row r="235" spans="1:26" x14ac:dyDescent="0.25">
      <c r="A235" s="27"/>
      <c r="B235" s="9"/>
      <c r="C235" s="2"/>
      <c r="D235" s="2"/>
      <c r="E235" s="2"/>
      <c r="F235" s="76"/>
      <c r="G235" s="76"/>
      <c r="H235" s="76"/>
      <c r="I235" s="76"/>
      <c r="J235" s="76"/>
      <c r="K235" s="76"/>
      <c r="L235" s="76"/>
      <c r="M235" s="76"/>
      <c r="N235" s="76"/>
      <c r="O235" s="76"/>
      <c r="P235" s="76"/>
      <c r="Q235" s="78"/>
      <c r="R235" s="78"/>
      <c r="S235" s="78"/>
      <c r="T235" s="78"/>
      <c r="U235" s="78"/>
      <c r="V235" s="78"/>
      <c r="W235" s="78"/>
      <c r="X235" s="78"/>
      <c r="Y235" s="78"/>
      <c r="Z235" s="75"/>
    </row>
    <row r="236" spans="1:26" x14ac:dyDescent="0.25">
      <c r="A236" s="27"/>
      <c r="B236" s="9" t="s">
        <v>201</v>
      </c>
      <c r="C236" s="2"/>
      <c r="D236" s="2"/>
      <c r="E236" s="2"/>
      <c r="F236" s="76"/>
      <c r="G236" s="76"/>
      <c r="H236" s="76"/>
      <c r="I236" s="76"/>
      <c r="J236" s="76"/>
      <c r="K236" s="76"/>
      <c r="L236" s="76"/>
      <c r="M236" s="76"/>
      <c r="N236" s="76"/>
      <c r="O236" s="76"/>
      <c r="P236" s="76"/>
      <c r="Q236" s="78"/>
      <c r="R236" s="78"/>
      <c r="S236" s="78"/>
      <c r="T236" s="78"/>
      <c r="U236" s="78"/>
      <c r="V236" s="78"/>
      <c r="W236" s="78"/>
      <c r="X236" s="78"/>
      <c r="Y236" s="78"/>
      <c r="Z236" s="79"/>
    </row>
    <row r="237" spans="1:26" x14ac:dyDescent="0.25">
      <c r="A237" s="27"/>
      <c r="B237" s="106" t="s">
        <v>60</v>
      </c>
      <c r="C237" s="2"/>
      <c r="D237" s="2"/>
      <c r="E237" s="2"/>
      <c r="F237" s="76">
        <f t="shared" ref="F237:Z237" si="40">F230-F223</f>
        <v>0</v>
      </c>
      <c r="G237" s="76">
        <f t="shared" si="40"/>
        <v>2072.9613733905589</v>
      </c>
      <c r="H237" s="76">
        <f t="shared" si="40"/>
        <v>2072.9613733905589</v>
      </c>
      <c r="I237" s="76">
        <f t="shared" si="40"/>
        <v>2072.9613733905589</v>
      </c>
      <c r="J237" s="76">
        <f t="shared" si="40"/>
        <v>2072.9613733905589</v>
      </c>
      <c r="K237" s="76">
        <f t="shared" si="40"/>
        <v>2072.9613733905589</v>
      </c>
      <c r="L237" s="76">
        <f t="shared" si="40"/>
        <v>2072.9613733905589</v>
      </c>
      <c r="M237" s="76">
        <f t="shared" si="40"/>
        <v>2072.9613733905589</v>
      </c>
      <c r="N237" s="76">
        <f t="shared" si="40"/>
        <v>2072.9613733905589</v>
      </c>
      <c r="O237" s="76">
        <f t="shared" si="40"/>
        <v>2072.9613733905589</v>
      </c>
      <c r="P237" s="76">
        <f t="shared" si="40"/>
        <v>2072.9613733905589</v>
      </c>
      <c r="Q237" s="76">
        <f t="shared" si="40"/>
        <v>2072.9613733905589</v>
      </c>
      <c r="R237" s="76">
        <f t="shared" si="40"/>
        <v>2072.9613733905589</v>
      </c>
      <c r="S237" s="76">
        <f t="shared" si="40"/>
        <v>2072.9613733905589</v>
      </c>
      <c r="T237" s="76">
        <f t="shared" si="40"/>
        <v>2072.9613733905589</v>
      </c>
      <c r="U237" s="76">
        <f t="shared" si="40"/>
        <v>2072.9613733905589</v>
      </c>
      <c r="V237" s="76">
        <f t="shared" si="40"/>
        <v>2072.9613733905589</v>
      </c>
      <c r="W237" s="76">
        <f t="shared" si="40"/>
        <v>2072.9613733905589</v>
      </c>
      <c r="X237" s="76">
        <f t="shared" si="40"/>
        <v>2072.9613733905589</v>
      </c>
      <c r="Y237" s="76">
        <f t="shared" si="40"/>
        <v>2072.9613733905589</v>
      </c>
      <c r="Z237" s="77">
        <f t="shared" si="40"/>
        <v>2072.9613733905589</v>
      </c>
    </row>
    <row r="238" spans="1:26" x14ac:dyDescent="0.25">
      <c r="A238" s="27"/>
      <c r="B238" s="9" t="s">
        <v>61</v>
      </c>
      <c r="C238" s="2"/>
      <c r="D238" s="2"/>
      <c r="E238" s="2"/>
      <c r="F238" s="76">
        <f t="shared" ref="F238:Z238" si="41">F231-F224</f>
        <v>0</v>
      </c>
      <c r="G238" s="76">
        <f t="shared" si="41"/>
        <v>439.47281831187502</v>
      </c>
      <c r="H238" s="76">
        <f t="shared" si="41"/>
        <v>443.86754649499358</v>
      </c>
      <c r="I238" s="76">
        <f t="shared" si="41"/>
        <v>448.30622195994329</v>
      </c>
      <c r="J238" s="76">
        <f t="shared" si="41"/>
        <v>452.78928417954285</v>
      </c>
      <c r="K238" s="76">
        <f t="shared" si="41"/>
        <v>457.31717702133824</v>
      </c>
      <c r="L238" s="76">
        <f t="shared" si="41"/>
        <v>461.89034879155179</v>
      </c>
      <c r="M238" s="76">
        <f t="shared" si="41"/>
        <v>466.50925227946686</v>
      </c>
      <c r="N238" s="76">
        <f t="shared" si="41"/>
        <v>471.17434480226188</v>
      </c>
      <c r="O238" s="76">
        <f t="shared" si="41"/>
        <v>475.88608825028405</v>
      </c>
      <c r="P238" s="76">
        <f t="shared" si="41"/>
        <v>480.64494913278713</v>
      </c>
      <c r="Q238" s="76">
        <f t="shared" si="41"/>
        <v>485.45139862411543</v>
      </c>
      <c r="R238" s="76">
        <f t="shared" si="41"/>
        <v>490.3059126103567</v>
      </c>
      <c r="S238" s="76">
        <f t="shared" si="41"/>
        <v>495.20897173645994</v>
      </c>
      <c r="T238" s="76">
        <f t="shared" si="41"/>
        <v>500.16106145382446</v>
      </c>
      <c r="U238" s="76">
        <f t="shared" si="41"/>
        <v>505.16267206836346</v>
      </c>
      <c r="V238" s="76">
        <f t="shared" si="41"/>
        <v>510.21429878904655</v>
      </c>
      <c r="W238" s="76">
        <f t="shared" si="41"/>
        <v>515.31644177693715</v>
      </c>
      <c r="X238" s="76">
        <f t="shared" si="41"/>
        <v>520.4696061947061</v>
      </c>
      <c r="Y238" s="76">
        <f t="shared" si="41"/>
        <v>525.67430225665362</v>
      </c>
      <c r="Z238" s="77">
        <f t="shared" si="41"/>
        <v>530.93104527921992</v>
      </c>
    </row>
    <row r="239" spans="1:26" x14ac:dyDescent="0.25">
      <c r="A239" s="27"/>
      <c r="B239" s="9" t="s">
        <v>62</v>
      </c>
      <c r="C239" s="2"/>
      <c r="D239" s="2"/>
      <c r="E239" s="2"/>
      <c r="F239" s="76">
        <f t="shared" ref="F239:Z239" si="42">F232-F225</f>
        <v>0</v>
      </c>
      <c r="G239" s="76">
        <f t="shared" si="42"/>
        <v>121.49234790000037</v>
      </c>
      <c r="H239" s="76">
        <f t="shared" si="42"/>
        <v>-2120.9355141109522</v>
      </c>
      <c r="I239" s="76">
        <f t="shared" si="42"/>
        <v>-2071.5549736907242</v>
      </c>
      <c r="J239" s="76">
        <f t="shared" si="42"/>
        <v>-2020.495494896209</v>
      </c>
      <c r="K239" s="76">
        <f t="shared" si="42"/>
        <v>-2020.495494896209</v>
      </c>
      <c r="L239" s="76">
        <f t="shared" si="42"/>
        <v>-2020.495494896209</v>
      </c>
      <c r="M239" s="76">
        <f t="shared" si="42"/>
        <v>-2020.495494896209</v>
      </c>
      <c r="N239" s="76">
        <f t="shared" si="42"/>
        <v>-2020.495494896209</v>
      </c>
      <c r="O239" s="76">
        <f t="shared" si="42"/>
        <v>-2020.495494896209</v>
      </c>
      <c r="P239" s="76">
        <f t="shared" si="42"/>
        <v>-2020.495494896209</v>
      </c>
      <c r="Q239" s="76">
        <f t="shared" si="42"/>
        <v>-2020.495494896209</v>
      </c>
      <c r="R239" s="76">
        <f t="shared" si="42"/>
        <v>-2020.495494896209</v>
      </c>
      <c r="S239" s="76">
        <f t="shared" si="42"/>
        <v>-2020.495494896209</v>
      </c>
      <c r="T239" s="76">
        <f t="shared" si="42"/>
        <v>-2020.495494896209</v>
      </c>
      <c r="U239" s="76">
        <f t="shared" si="42"/>
        <v>-2020.495494896209</v>
      </c>
      <c r="V239" s="76">
        <f t="shared" si="42"/>
        <v>-2020.495494896209</v>
      </c>
      <c r="W239" s="76">
        <f t="shared" si="42"/>
        <v>-2020.495494896209</v>
      </c>
      <c r="X239" s="76">
        <f t="shared" si="42"/>
        <v>-2020.495494896209</v>
      </c>
      <c r="Y239" s="76">
        <f t="shared" si="42"/>
        <v>-2020.495494896209</v>
      </c>
      <c r="Z239" s="77">
        <f t="shared" si="42"/>
        <v>-2020.495494896209</v>
      </c>
    </row>
    <row r="240" spans="1:26" x14ac:dyDescent="0.25">
      <c r="A240" s="27"/>
      <c r="B240" s="9" t="s">
        <v>63</v>
      </c>
      <c r="C240" s="2"/>
      <c r="D240" s="2"/>
      <c r="E240" s="2"/>
      <c r="F240" s="76">
        <f t="shared" ref="F240:Z240" si="43">F233-F226</f>
        <v>0</v>
      </c>
      <c r="G240" s="76">
        <f t="shared" si="43"/>
        <v>257.71104099999957</v>
      </c>
      <c r="H240" s="76">
        <f t="shared" si="43"/>
        <v>5362.1640178232019</v>
      </c>
      <c r="I240" s="76">
        <f t="shared" si="43"/>
        <v>5802.1886354291919</v>
      </c>
      <c r="J240" s="76">
        <f t="shared" si="43"/>
        <v>6257.1740900337836</v>
      </c>
      <c r="K240" s="76">
        <f t="shared" si="43"/>
        <v>6257.1740900337836</v>
      </c>
      <c r="L240" s="76">
        <f t="shared" si="43"/>
        <v>6257.1740900337836</v>
      </c>
      <c r="M240" s="76">
        <f t="shared" si="43"/>
        <v>6257.1740900337836</v>
      </c>
      <c r="N240" s="76">
        <f t="shared" si="43"/>
        <v>6257.1740900337836</v>
      </c>
      <c r="O240" s="76">
        <f t="shared" si="43"/>
        <v>6257.1740900337836</v>
      </c>
      <c r="P240" s="76">
        <f t="shared" si="43"/>
        <v>6257.1740900337836</v>
      </c>
      <c r="Q240" s="76">
        <f t="shared" si="43"/>
        <v>6257.1740900337836</v>
      </c>
      <c r="R240" s="76">
        <f t="shared" si="43"/>
        <v>6257.1740900337836</v>
      </c>
      <c r="S240" s="76">
        <f t="shared" si="43"/>
        <v>6257.1740900337836</v>
      </c>
      <c r="T240" s="76">
        <f t="shared" si="43"/>
        <v>6257.1740900337836</v>
      </c>
      <c r="U240" s="76">
        <f t="shared" si="43"/>
        <v>6257.1740900337836</v>
      </c>
      <c r="V240" s="76">
        <f t="shared" si="43"/>
        <v>6257.1740900337836</v>
      </c>
      <c r="W240" s="76">
        <f t="shared" si="43"/>
        <v>6257.1740900337836</v>
      </c>
      <c r="X240" s="76">
        <f t="shared" si="43"/>
        <v>6257.1740900337836</v>
      </c>
      <c r="Y240" s="76">
        <f t="shared" si="43"/>
        <v>6257.1740900337836</v>
      </c>
      <c r="Z240" s="222">
        <f t="shared" si="43"/>
        <v>6257.1740900337836</v>
      </c>
    </row>
    <row r="241" spans="1:26" x14ac:dyDescent="0.25">
      <c r="A241" s="27"/>
      <c r="B241" s="56" t="s">
        <v>15</v>
      </c>
      <c r="C241" s="39"/>
      <c r="D241" s="39"/>
      <c r="E241" s="39"/>
      <c r="F241" s="109">
        <f t="shared" ref="F241:Z241" si="44">F234-F227</f>
        <v>0</v>
      </c>
      <c r="G241" s="109">
        <f t="shared" si="44"/>
        <v>-2133.2308028024336</v>
      </c>
      <c r="H241" s="109">
        <f t="shared" si="44"/>
        <v>724.39958382669647</v>
      </c>
      <c r="I241" s="109">
        <f t="shared" si="44"/>
        <v>1209.3660663879664</v>
      </c>
      <c r="J241" s="109">
        <f t="shared" si="44"/>
        <v>1710.9279375674741</v>
      </c>
      <c r="K241" s="109">
        <f t="shared" si="44"/>
        <v>1706.4000447256776</v>
      </c>
      <c r="L241" s="109">
        <f t="shared" si="44"/>
        <v>1701.8268729554638</v>
      </c>
      <c r="M241" s="109">
        <f t="shared" si="44"/>
        <v>1697.2079694675485</v>
      </c>
      <c r="N241" s="109">
        <f t="shared" si="44"/>
        <v>1692.5428769447544</v>
      </c>
      <c r="O241" s="109">
        <f t="shared" si="44"/>
        <v>1687.8311334967311</v>
      </c>
      <c r="P241" s="109">
        <f t="shared" si="44"/>
        <v>1683.0722726142285</v>
      </c>
      <c r="Q241" s="109">
        <f t="shared" si="44"/>
        <v>1678.2658231228997</v>
      </c>
      <c r="R241" s="109">
        <f t="shared" si="44"/>
        <v>1673.4113091366589</v>
      </c>
      <c r="S241" s="109">
        <f t="shared" si="44"/>
        <v>1668.5082500105564</v>
      </c>
      <c r="T241" s="109">
        <f t="shared" si="44"/>
        <v>1663.5561602931921</v>
      </c>
      <c r="U241" s="109">
        <f t="shared" si="44"/>
        <v>1658.5545496786517</v>
      </c>
      <c r="V241" s="109">
        <f t="shared" si="44"/>
        <v>1653.5029229579704</v>
      </c>
      <c r="W241" s="109">
        <f t="shared" si="44"/>
        <v>1648.4007799700785</v>
      </c>
      <c r="X241" s="109">
        <f t="shared" si="44"/>
        <v>1643.2476155523091</v>
      </c>
      <c r="Y241" s="109">
        <f t="shared" si="44"/>
        <v>1638.0429194903627</v>
      </c>
      <c r="Z241" s="110">
        <f t="shared" si="44"/>
        <v>1632.7861764677964</v>
      </c>
    </row>
    <row r="242" spans="1:26" x14ac:dyDescent="0.25">
      <c r="A242" s="27"/>
      <c r="B242" s="9"/>
      <c r="C242" s="2"/>
      <c r="D242" s="2"/>
      <c r="E242" s="2"/>
      <c r="F242" s="76"/>
      <c r="G242" s="76"/>
      <c r="H242" s="76"/>
      <c r="I242" s="76"/>
      <c r="J242" s="76"/>
      <c r="K242" s="76"/>
      <c r="L242" s="76"/>
      <c r="M242" s="76"/>
      <c r="N242" s="76"/>
      <c r="O242" s="76"/>
      <c r="P242" s="76"/>
      <c r="Q242" s="76"/>
      <c r="R242" s="76"/>
      <c r="S242" s="76"/>
      <c r="T242" s="76"/>
      <c r="U242" s="76"/>
      <c r="V242" s="76"/>
      <c r="W242" s="76"/>
      <c r="X242" s="76"/>
      <c r="Y242" s="76"/>
      <c r="Z242" s="77"/>
    </row>
    <row r="243" spans="1:26" x14ac:dyDescent="0.25">
      <c r="A243" s="27"/>
      <c r="B243" s="111" t="s">
        <v>66</v>
      </c>
      <c r="C243" s="271">
        <f>NPV($D$168,H241:AA241)+G241</f>
        <v>9042.8676360064201</v>
      </c>
      <c r="D243" s="4"/>
      <c r="E243" s="2"/>
      <c r="F243" s="76"/>
      <c r="G243" s="76"/>
      <c r="H243" s="76"/>
      <c r="I243" s="76"/>
      <c r="J243" s="76"/>
      <c r="K243" s="76"/>
      <c r="L243" s="76"/>
      <c r="M243" s="76"/>
      <c r="N243" s="76"/>
      <c r="O243" s="76"/>
      <c r="P243" s="76"/>
      <c r="Q243" s="76"/>
      <c r="R243" s="76"/>
      <c r="S243" s="76"/>
      <c r="T243" s="76"/>
      <c r="U243" s="76"/>
      <c r="V243" s="76"/>
      <c r="W243" s="76"/>
      <c r="X243" s="76"/>
      <c r="Y243" s="76"/>
      <c r="Z243" s="77"/>
    </row>
    <row r="244" spans="1:26" ht="15.75" thickBot="1" x14ac:dyDescent="0.3">
      <c r="A244" s="27"/>
      <c r="B244" s="16"/>
      <c r="C244" s="12"/>
      <c r="D244" s="12"/>
      <c r="E244" s="12"/>
      <c r="F244" s="80"/>
      <c r="G244" s="80"/>
      <c r="H244" s="80"/>
      <c r="I244" s="80"/>
      <c r="J244" s="80"/>
      <c r="K244" s="80"/>
      <c r="L244" s="80"/>
      <c r="M244" s="80"/>
      <c r="N244" s="80"/>
      <c r="O244" s="80"/>
      <c r="P244" s="80"/>
      <c r="Q244" s="81"/>
      <c r="R244" s="81"/>
      <c r="S244" s="81"/>
      <c r="T244" s="81"/>
      <c r="U244" s="81"/>
      <c r="V244" s="81"/>
      <c r="W244" s="81"/>
      <c r="X244" s="81"/>
      <c r="Y244" s="81"/>
      <c r="Z244" s="82"/>
    </row>
    <row r="245" spans="1:26" ht="15.75" thickBot="1" x14ac:dyDescent="0.3">
      <c r="B245" s="4"/>
      <c r="C245" s="4"/>
      <c r="D245" s="4"/>
      <c r="E245" s="4"/>
      <c r="F245" s="26"/>
      <c r="G245" s="26"/>
      <c r="H245" s="26"/>
      <c r="I245" s="26"/>
      <c r="J245" s="26"/>
      <c r="K245" s="26"/>
      <c r="L245" s="26"/>
      <c r="M245" s="26"/>
      <c r="N245" s="26"/>
      <c r="O245" s="26"/>
      <c r="P245" s="26"/>
    </row>
    <row r="246" spans="1:26" x14ac:dyDescent="0.25">
      <c r="A246" s="1"/>
      <c r="B246" s="48" t="s">
        <v>261</v>
      </c>
      <c r="C246" s="49"/>
      <c r="D246" s="49"/>
      <c r="E246" s="50"/>
      <c r="F246" s="50"/>
      <c r="G246" s="50"/>
      <c r="H246" s="50"/>
      <c r="I246" s="50"/>
      <c r="J246" s="50"/>
      <c r="K246" s="50"/>
      <c r="L246" s="50"/>
      <c r="M246" s="50"/>
      <c r="N246" s="50"/>
      <c r="O246" s="50"/>
      <c r="P246" s="50"/>
      <c r="Q246" s="50"/>
      <c r="R246" s="50"/>
      <c r="S246" s="50"/>
      <c r="T246" s="50"/>
      <c r="U246" s="50"/>
      <c r="V246" s="50"/>
      <c r="W246" s="50"/>
      <c r="X246" s="50"/>
      <c r="Y246" s="50"/>
      <c r="Z246" s="51"/>
    </row>
    <row r="247" spans="1:26" x14ac:dyDescent="0.25">
      <c r="A247" s="1"/>
      <c r="B247" s="154"/>
      <c r="C247" s="142"/>
      <c r="D247" s="142"/>
      <c r="E247" s="143" t="s">
        <v>8</v>
      </c>
      <c r="F247" s="144">
        <v>0</v>
      </c>
      <c r="G247" s="144">
        <v>1</v>
      </c>
      <c r="H247" s="144">
        <v>2</v>
      </c>
      <c r="I247" s="144">
        <v>3</v>
      </c>
      <c r="J247" s="144">
        <v>4</v>
      </c>
      <c r="K247" s="144">
        <v>5</v>
      </c>
      <c r="L247" s="144">
        <v>6</v>
      </c>
      <c r="M247" s="144">
        <v>7</v>
      </c>
      <c r="N247" s="144">
        <v>8</v>
      </c>
      <c r="O247" s="144">
        <v>9</v>
      </c>
      <c r="P247" s="144">
        <v>10</v>
      </c>
      <c r="Q247" s="144">
        <v>11</v>
      </c>
      <c r="R247" s="144">
        <v>12</v>
      </c>
      <c r="S247" s="144">
        <v>13</v>
      </c>
      <c r="T247" s="144">
        <v>14</v>
      </c>
      <c r="U247" s="144">
        <v>15</v>
      </c>
      <c r="V247" s="144">
        <v>16</v>
      </c>
      <c r="W247" s="144">
        <v>17</v>
      </c>
      <c r="X247" s="144">
        <v>18</v>
      </c>
      <c r="Y247" s="144">
        <v>19</v>
      </c>
      <c r="Z247" s="145">
        <v>20</v>
      </c>
    </row>
    <row r="248" spans="1:26" x14ac:dyDescent="0.25">
      <c r="B248" s="9"/>
      <c r="C248" s="2"/>
      <c r="D248" s="2"/>
      <c r="E248" s="2"/>
      <c r="F248" s="74"/>
      <c r="G248" s="74"/>
      <c r="H248" s="74"/>
      <c r="I248" s="74"/>
      <c r="J248" s="74"/>
      <c r="K248" s="74"/>
      <c r="L248" s="74"/>
      <c r="M248" s="74"/>
      <c r="N248" s="74"/>
      <c r="O248" s="74"/>
      <c r="P248" s="74"/>
      <c r="Q248" s="74"/>
      <c r="R248" s="74"/>
      <c r="S248" s="74"/>
      <c r="T248" s="74"/>
      <c r="U248" s="74"/>
      <c r="V248" s="74"/>
      <c r="W248" s="74"/>
      <c r="X248" s="74"/>
      <c r="Y248" s="74"/>
      <c r="Z248" s="75"/>
    </row>
    <row r="249" spans="1:26" s="69" customFormat="1" ht="15.75" x14ac:dyDescent="0.25">
      <c r="B249" s="107" t="s">
        <v>64</v>
      </c>
      <c r="C249" s="4"/>
      <c r="D249" s="4"/>
      <c r="E249" s="4"/>
      <c r="F249" s="76"/>
      <c r="G249" s="76"/>
      <c r="H249" s="76"/>
      <c r="I249" s="76"/>
      <c r="J249" s="76"/>
      <c r="K249" s="76"/>
      <c r="L249" s="76"/>
      <c r="M249" s="76"/>
      <c r="N249" s="76"/>
      <c r="O249" s="76"/>
      <c r="P249" s="76"/>
      <c r="Q249" s="76"/>
      <c r="R249" s="76"/>
      <c r="S249" s="76"/>
      <c r="T249" s="76"/>
      <c r="U249" s="76"/>
      <c r="V249" s="76"/>
      <c r="W249" s="76"/>
      <c r="X249" s="76"/>
      <c r="Y249" s="76"/>
      <c r="Z249" s="77"/>
    </row>
    <row r="250" spans="1:26" s="69" customFormat="1" x14ac:dyDescent="0.25">
      <c r="B250" s="106" t="s">
        <v>60</v>
      </c>
      <c r="C250" s="4"/>
      <c r="D250" s="4"/>
      <c r="E250" s="4"/>
      <c r="F250" s="76">
        <f t="shared" ref="F250:Z250" si="45">F223</f>
        <v>4236.0515021459223</v>
      </c>
      <c r="G250" s="76">
        <f t="shared" si="45"/>
        <v>4236.0515021459223</v>
      </c>
      <c r="H250" s="76">
        <f t="shared" si="45"/>
        <v>4236.0515021459223</v>
      </c>
      <c r="I250" s="76">
        <f t="shared" si="45"/>
        <v>4236.0515021459223</v>
      </c>
      <c r="J250" s="76">
        <f t="shared" si="45"/>
        <v>4236.0515021459223</v>
      </c>
      <c r="K250" s="76">
        <f t="shared" si="45"/>
        <v>4236.0515021459223</v>
      </c>
      <c r="L250" s="76">
        <f t="shared" si="45"/>
        <v>4236.0515021459223</v>
      </c>
      <c r="M250" s="76">
        <f t="shared" si="45"/>
        <v>4236.0515021459223</v>
      </c>
      <c r="N250" s="76">
        <f t="shared" si="45"/>
        <v>4236.0515021459223</v>
      </c>
      <c r="O250" s="76">
        <f t="shared" si="45"/>
        <v>4236.0515021459223</v>
      </c>
      <c r="P250" s="76">
        <f t="shared" si="45"/>
        <v>4236.0515021459223</v>
      </c>
      <c r="Q250" s="76">
        <f t="shared" si="45"/>
        <v>4236.0515021459223</v>
      </c>
      <c r="R250" s="76">
        <f t="shared" si="45"/>
        <v>4236.0515021459223</v>
      </c>
      <c r="S250" s="76">
        <f t="shared" si="45"/>
        <v>4236.0515021459223</v>
      </c>
      <c r="T250" s="76">
        <f t="shared" si="45"/>
        <v>4236.0515021459223</v>
      </c>
      <c r="U250" s="76">
        <f t="shared" si="45"/>
        <v>4236.0515021459223</v>
      </c>
      <c r="V250" s="76">
        <f t="shared" si="45"/>
        <v>4236.0515021459223</v>
      </c>
      <c r="W250" s="76">
        <f t="shared" si="45"/>
        <v>4236.0515021459223</v>
      </c>
      <c r="X250" s="76">
        <f t="shared" si="45"/>
        <v>4236.0515021459223</v>
      </c>
      <c r="Y250" s="76">
        <f t="shared" si="45"/>
        <v>4236.0515021459223</v>
      </c>
      <c r="Z250" s="77">
        <f t="shared" si="45"/>
        <v>4236.0515021459223</v>
      </c>
    </row>
    <row r="251" spans="1:26" x14ac:dyDescent="0.25">
      <c r="A251" s="27"/>
      <c r="B251" s="9" t="s">
        <v>61</v>
      </c>
      <c r="C251" s="2"/>
      <c r="D251" s="2"/>
      <c r="E251" s="2"/>
      <c r="F251" s="76">
        <f t="shared" ref="F251:Z251" si="46">F224</f>
        <v>2309.4311673819739</v>
      </c>
      <c r="G251" s="76">
        <f t="shared" si="46"/>
        <v>1504.2749790557937</v>
      </c>
      <c r="H251" s="76">
        <f t="shared" si="46"/>
        <v>1519.3177288463517</v>
      </c>
      <c r="I251" s="76">
        <f t="shared" si="46"/>
        <v>2354.560906134815</v>
      </c>
      <c r="J251" s="76">
        <f t="shared" si="46"/>
        <v>1549.8560151961633</v>
      </c>
      <c r="K251" s="76">
        <f t="shared" si="46"/>
        <v>1565.3545753481249</v>
      </c>
      <c r="L251" s="76">
        <f t="shared" si="46"/>
        <v>2401.058121101606</v>
      </c>
      <c r="M251" s="76">
        <f t="shared" si="46"/>
        <v>1596.8182023126221</v>
      </c>
      <c r="N251" s="76">
        <f t="shared" si="46"/>
        <v>1612.7863843357484</v>
      </c>
      <c r="O251" s="76">
        <f t="shared" si="46"/>
        <v>2448.9642481791061</v>
      </c>
      <c r="P251" s="76">
        <f t="shared" si="46"/>
        <v>1645.2033906608972</v>
      </c>
      <c r="Q251" s="76">
        <f t="shared" si="46"/>
        <v>1661.6554245675061</v>
      </c>
      <c r="R251" s="76">
        <f t="shared" si="46"/>
        <v>2498.321978813181</v>
      </c>
      <c r="S251" s="76">
        <f t="shared" si="46"/>
        <v>1695.054698601313</v>
      </c>
      <c r="T251" s="76">
        <f t="shared" si="46"/>
        <v>1712.005245587326</v>
      </c>
      <c r="U251" s="76">
        <f t="shared" si="46"/>
        <v>2549.1752980431993</v>
      </c>
      <c r="V251" s="76">
        <f t="shared" si="46"/>
        <v>1746.4165510236312</v>
      </c>
      <c r="W251" s="76">
        <f t="shared" si="46"/>
        <v>1763.8807165338676</v>
      </c>
      <c r="X251" s="76">
        <f t="shared" si="46"/>
        <v>2601.5695236992065</v>
      </c>
      <c r="Y251" s="76">
        <f t="shared" si="46"/>
        <v>1799.3347189361982</v>
      </c>
      <c r="Z251" s="77">
        <f t="shared" si="46"/>
        <v>1817.3280661255606</v>
      </c>
    </row>
    <row r="252" spans="1:26" x14ac:dyDescent="0.25">
      <c r="A252" s="27"/>
      <c r="B252" s="9" t="s">
        <v>262</v>
      </c>
      <c r="C252" s="2"/>
      <c r="D252" s="2"/>
      <c r="E252" s="2"/>
      <c r="F252" s="76"/>
      <c r="G252" s="76">
        <f>0.3*$F$14*($F$163*G205+$F$164)</f>
        <v>82.618025751072963</v>
      </c>
      <c r="H252" s="76"/>
      <c r="I252" s="76"/>
      <c r="J252" s="76"/>
      <c r="K252" s="76"/>
      <c r="L252" s="76"/>
      <c r="M252" s="76"/>
      <c r="N252" s="76"/>
      <c r="O252" s="76"/>
      <c r="P252" s="76">
        <f>0.3*$F$14*($F$163*P205+$F$164)</f>
        <v>82.618025751072963</v>
      </c>
      <c r="Q252" s="76"/>
      <c r="R252" s="76"/>
      <c r="S252" s="76"/>
      <c r="T252" s="76"/>
      <c r="U252" s="76"/>
      <c r="V252" s="76"/>
      <c r="W252" s="76"/>
      <c r="X252" s="76"/>
      <c r="Y252" s="76"/>
      <c r="Z252" s="77">
        <f>0.3*$F$14*($F$163*Z205+$F$164)</f>
        <v>82.618025751072963</v>
      </c>
    </row>
    <row r="253" spans="1:26" x14ac:dyDescent="0.25">
      <c r="A253" s="27"/>
      <c r="B253" s="9" t="s">
        <v>62</v>
      </c>
      <c r="C253" s="2"/>
      <c r="D253" s="2"/>
      <c r="E253" s="2"/>
      <c r="F253" s="76">
        <f>F225</f>
        <v>3573.3043499999999</v>
      </c>
      <c r="G253" s="76">
        <f t="shared" ref="G253:I254" si="47">G225*0.7</f>
        <v>2501.3130449999999</v>
      </c>
      <c r="H253" s="76">
        <f t="shared" si="47"/>
        <v>2501.3130449999999</v>
      </c>
      <c r="I253" s="76">
        <f t="shared" si="47"/>
        <v>2501.3130449999999</v>
      </c>
      <c r="J253" s="76">
        <f>J225*0.7+0.3*0.33*J225</f>
        <v>2855.0701756499998</v>
      </c>
      <c r="K253" s="76">
        <f>K225*0.7+0.3*0.66*K225</f>
        <v>3208.8273062999997</v>
      </c>
      <c r="L253" s="76">
        <f t="shared" ref="L253:O254" si="48">L225</f>
        <v>3573.3043499999999</v>
      </c>
      <c r="M253" s="76">
        <f t="shared" si="48"/>
        <v>3573.3043499999999</v>
      </c>
      <c r="N253" s="76">
        <f t="shared" si="48"/>
        <v>3573.3043499999999</v>
      </c>
      <c r="O253" s="76">
        <f t="shared" si="48"/>
        <v>3573.3043499999999</v>
      </c>
      <c r="P253" s="76">
        <f t="shared" ref="P253:R254" si="49">P225*0.7</f>
        <v>2501.3130449999999</v>
      </c>
      <c r="Q253" s="76">
        <f t="shared" si="49"/>
        <v>2501.3130449999999</v>
      </c>
      <c r="R253" s="76">
        <f t="shared" si="49"/>
        <v>2501.3130449999999</v>
      </c>
      <c r="S253" s="76">
        <f>S225*0.7+0.3*0.33*S225</f>
        <v>2855.0701756499998</v>
      </c>
      <c r="T253" s="76">
        <f>T225*0.7+0.3*0.66*T225</f>
        <v>3208.8273062999997</v>
      </c>
      <c r="U253" s="76">
        <f t="shared" ref="U253:Y254" si="50">U225</f>
        <v>3573.3043499999999</v>
      </c>
      <c r="V253" s="76">
        <f t="shared" si="50"/>
        <v>3573.3043499999999</v>
      </c>
      <c r="W253" s="76">
        <f t="shared" si="50"/>
        <v>3573.3043499999999</v>
      </c>
      <c r="X253" s="76">
        <f t="shared" si="50"/>
        <v>3573.3043499999999</v>
      </c>
      <c r="Y253" s="76">
        <f t="shared" si="50"/>
        <v>3573.3043499999999</v>
      </c>
      <c r="Z253" s="77">
        <f>Z225*0.7</f>
        <v>2501.3130449999999</v>
      </c>
    </row>
    <row r="254" spans="1:26" x14ac:dyDescent="0.25">
      <c r="A254" s="27"/>
      <c r="B254" s="9" t="s">
        <v>63</v>
      </c>
      <c r="C254" s="2"/>
      <c r="D254" s="2"/>
      <c r="E254" s="2"/>
      <c r="F254" s="76">
        <f>F226</f>
        <v>7579.7364999999982</v>
      </c>
      <c r="G254" s="76">
        <f t="shared" si="47"/>
        <v>5305.8155499999984</v>
      </c>
      <c r="H254" s="76">
        <f t="shared" si="47"/>
        <v>5305.8155499999984</v>
      </c>
      <c r="I254" s="76">
        <f t="shared" si="47"/>
        <v>5305.8155499999984</v>
      </c>
      <c r="J254" s="76">
        <f>J226*0.7+0.3*0.33*J226</f>
        <v>6056.2094634999985</v>
      </c>
      <c r="K254" s="76">
        <f>K226*0.7+0.3*0.66*K226</f>
        <v>6806.6033769999976</v>
      </c>
      <c r="L254" s="76">
        <f t="shared" si="48"/>
        <v>7579.7364999999982</v>
      </c>
      <c r="M254" s="76">
        <f t="shared" si="48"/>
        <v>7579.7364999999982</v>
      </c>
      <c r="N254" s="76">
        <f t="shared" si="48"/>
        <v>7579.7364999999982</v>
      </c>
      <c r="O254" s="76">
        <f t="shared" si="48"/>
        <v>7579.7364999999982</v>
      </c>
      <c r="P254" s="76">
        <f t="shared" si="49"/>
        <v>5305.8155499999984</v>
      </c>
      <c r="Q254" s="76">
        <f t="shared" si="49"/>
        <v>5305.8155499999984</v>
      </c>
      <c r="R254" s="76">
        <f t="shared" si="49"/>
        <v>5305.8155499999984</v>
      </c>
      <c r="S254" s="76">
        <f>S226*0.7+0.3*0.33*S226</f>
        <v>6056.2094634999985</v>
      </c>
      <c r="T254" s="76">
        <f>T226*0.7+0.3*0.66*T226</f>
        <v>6806.6033769999976</v>
      </c>
      <c r="U254" s="76">
        <f t="shared" si="50"/>
        <v>7579.7364999999982</v>
      </c>
      <c r="V254" s="76">
        <f t="shared" si="50"/>
        <v>7579.7364999999982</v>
      </c>
      <c r="W254" s="76">
        <f t="shared" si="50"/>
        <v>7579.7364999999982</v>
      </c>
      <c r="X254" s="76">
        <f t="shared" si="50"/>
        <v>7579.7364999999982</v>
      </c>
      <c r="Y254" s="76">
        <f t="shared" si="50"/>
        <v>7579.7364999999982</v>
      </c>
      <c r="Z254" s="77">
        <f>Z226*0.7</f>
        <v>5305.8155499999984</v>
      </c>
    </row>
    <row r="255" spans="1:26" x14ac:dyDescent="0.25">
      <c r="A255" s="27"/>
      <c r="B255" s="56" t="s">
        <v>57</v>
      </c>
      <c r="C255" s="39"/>
      <c r="D255" s="39"/>
      <c r="E255" s="39"/>
      <c r="F255" s="109">
        <f t="shared" ref="F255:Z255" si="51">SUM(F253:F254)-SUM(F250:F252)</f>
        <v>4607.5581804721014</v>
      </c>
      <c r="G255" s="109">
        <f t="shared" si="51"/>
        <v>1984.1840880472091</v>
      </c>
      <c r="H255" s="109">
        <f t="shared" si="51"/>
        <v>2051.7593640077248</v>
      </c>
      <c r="I255" s="109">
        <f t="shared" si="51"/>
        <v>1216.516186719261</v>
      </c>
      <c r="J255" s="109">
        <f t="shared" si="51"/>
        <v>3125.3721218079118</v>
      </c>
      <c r="K255" s="109">
        <f t="shared" si="51"/>
        <v>4214.0246058059502</v>
      </c>
      <c r="L255" s="109">
        <f t="shared" si="51"/>
        <v>4515.9312267524692</v>
      </c>
      <c r="M255" s="109">
        <f t="shared" si="51"/>
        <v>5320.1711455414534</v>
      </c>
      <c r="N255" s="109">
        <f t="shared" si="51"/>
        <v>5304.2029635183271</v>
      </c>
      <c r="O255" s="109">
        <f t="shared" si="51"/>
        <v>4468.0250996749692</v>
      </c>
      <c r="P255" s="109">
        <f t="shared" si="51"/>
        <v>1843.2556764421061</v>
      </c>
      <c r="Q255" s="109">
        <f t="shared" si="51"/>
        <v>1909.4216682865699</v>
      </c>
      <c r="R255" s="109">
        <f t="shared" si="51"/>
        <v>1072.755114040895</v>
      </c>
      <c r="S255" s="109">
        <f t="shared" si="51"/>
        <v>2980.1734384027623</v>
      </c>
      <c r="T255" s="109">
        <f t="shared" si="51"/>
        <v>4067.3739355667494</v>
      </c>
      <c r="U255" s="109">
        <f t="shared" si="51"/>
        <v>4367.814049810876</v>
      </c>
      <c r="V255" s="109">
        <f t="shared" si="51"/>
        <v>5170.5727968304436</v>
      </c>
      <c r="W255" s="109">
        <f t="shared" si="51"/>
        <v>5153.1086313202077</v>
      </c>
      <c r="X255" s="109">
        <f t="shared" si="51"/>
        <v>4315.4198241548693</v>
      </c>
      <c r="Y255" s="109">
        <f t="shared" si="51"/>
        <v>5117.6546289178768</v>
      </c>
      <c r="Z255" s="110">
        <f t="shared" si="51"/>
        <v>1671.1310009774425</v>
      </c>
    </row>
    <row r="256" spans="1:26" x14ac:dyDescent="0.25">
      <c r="A256" s="27"/>
      <c r="B256" s="9"/>
      <c r="C256" s="2"/>
      <c r="D256" s="2"/>
      <c r="E256" s="2"/>
      <c r="F256" s="76"/>
      <c r="G256" s="76"/>
      <c r="H256" s="76"/>
      <c r="I256" s="76"/>
      <c r="J256" s="76"/>
      <c r="K256" s="76"/>
      <c r="L256" s="76"/>
      <c r="M256" s="76"/>
      <c r="N256" s="76"/>
      <c r="O256" s="76"/>
      <c r="P256" s="76"/>
      <c r="Q256" s="76"/>
      <c r="R256" s="76"/>
      <c r="S256" s="76"/>
      <c r="T256" s="76"/>
      <c r="U256" s="76"/>
      <c r="V256" s="76"/>
      <c r="W256" s="76"/>
      <c r="X256" s="76"/>
      <c r="Y256" s="76"/>
      <c r="Z256" s="77"/>
    </row>
    <row r="257" spans="1:26" ht="15.75" x14ac:dyDescent="0.25">
      <c r="A257" s="38"/>
      <c r="B257" s="108" t="s">
        <v>65</v>
      </c>
      <c r="C257" s="2"/>
      <c r="D257" s="2"/>
      <c r="E257" s="2"/>
      <c r="F257" s="76"/>
      <c r="G257" s="76"/>
      <c r="H257" s="76"/>
      <c r="I257" s="76"/>
      <c r="J257" s="76"/>
      <c r="K257" s="76"/>
      <c r="L257" s="76"/>
      <c r="M257" s="76"/>
      <c r="N257" s="76"/>
      <c r="O257" s="76"/>
      <c r="P257" s="76"/>
      <c r="Q257" s="78"/>
      <c r="R257" s="78"/>
      <c r="S257" s="78"/>
      <c r="T257" s="78"/>
      <c r="U257" s="78"/>
      <c r="V257" s="78"/>
      <c r="W257" s="78"/>
      <c r="X257" s="78"/>
      <c r="Y257" s="78"/>
      <c r="Z257" s="79"/>
    </row>
    <row r="258" spans="1:26" x14ac:dyDescent="0.25">
      <c r="A258" s="38"/>
      <c r="B258" s="106" t="s">
        <v>60</v>
      </c>
      <c r="C258" s="2"/>
      <c r="D258" s="2"/>
      <c r="E258" s="2"/>
      <c r="F258" s="76">
        <f t="shared" ref="F258:Z258" si="52">F230</f>
        <v>4236.0515021459223</v>
      </c>
      <c r="G258" s="76">
        <f t="shared" si="52"/>
        <v>6309.0128755364813</v>
      </c>
      <c r="H258" s="76">
        <f t="shared" si="52"/>
        <v>6309.0128755364813</v>
      </c>
      <c r="I258" s="76">
        <f t="shared" si="52"/>
        <v>6309.0128755364813</v>
      </c>
      <c r="J258" s="76">
        <f t="shared" si="52"/>
        <v>6309.0128755364813</v>
      </c>
      <c r="K258" s="76">
        <f t="shared" si="52"/>
        <v>6309.0128755364813</v>
      </c>
      <c r="L258" s="76">
        <f t="shared" si="52"/>
        <v>6309.0128755364813</v>
      </c>
      <c r="M258" s="76">
        <f t="shared" si="52"/>
        <v>6309.0128755364813</v>
      </c>
      <c r="N258" s="76">
        <f t="shared" si="52"/>
        <v>6309.0128755364813</v>
      </c>
      <c r="O258" s="76">
        <f t="shared" si="52"/>
        <v>6309.0128755364813</v>
      </c>
      <c r="P258" s="76">
        <f t="shared" si="52"/>
        <v>6309.0128755364813</v>
      </c>
      <c r="Q258" s="76">
        <f t="shared" si="52"/>
        <v>6309.0128755364813</v>
      </c>
      <c r="R258" s="76">
        <f t="shared" si="52"/>
        <v>6309.0128755364813</v>
      </c>
      <c r="S258" s="76">
        <f t="shared" si="52"/>
        <v>6309.0128755364813</v>
      </c>
      <c r="T258" s="76">
        <f t="shared" si="52"/>
        <v>6309.0128755364813</v>
      </c>
      <c r="U258" s="76">
        <f t="shared" si="52"/>
        <v>6309.0128755364813</v>
      </c>
      <c r="V258" s="76">
        <f t="shared" si="52"/>
        <v>6309.0128755364813</v>
      </c>
      <c r="W258" s="76">
        <f t="shared" si="52"/>
        <v>6309.0128755364813</v>
      </c>
      <c r="X258" s="76">
        <f t="shared" si="52"/>
        <v>6309.0128755364813</v>
      </c>
      <c r="Y258" s="76">
        <f t="shared" si="52"/>
        <v>6309.0128755364813</v>
      </c>
      <c r="Z258" s="77">
        <f t="shared" si="52"/>
        <v>6309.0128755364813</v>
      </c>
    </row>
    <row r="259" spans="1:26" x14ac:dyDescent="0.25">
      <c r="A259" s="38"/>
      <c r="B259" s="9" t="s">
        <v>61</v>
      </c>
      <c r="C259" s="2"/>
      <c r="D259" s="2"/>
      <c r="E259" s="2"/>
      <c r="F259" s="76">
        <f t="shared" ref="F259:Z259" si="53">F231</f>
        <v>2309.4311673819739</v>
      </c>
      <c r="G259" s="76">
        <f t="shared" si="53"/>
        <v>1943.7477973676687</v>
      </c>
      <c r="H259" s="76">
        <f t="shared" si="53"/>
        <v>1963.1852753413452</v>
      </c>
      <c r="I259" s="76">
        <f t="shared" si="53"/>
        <v>2802.8671280947583</v>
      </c>
      <c r="J259" s="76">
        <f t="shared" si="53"/>
        <v>2002.6452993757061</v>
      </c>
      <c r="K259" s="76">
        <f t="shared" si="53"/>
        <v>2022.6717523694631</v>
      </c>
      <c r="L259" s="76">
        <f t="shared" si="53"/>
        <v>2862.9484698931578</v>
      </c>
      <c r="M259" s="76">
        <f t="shared" si="53"/>
        <v>2063.327454592089</v>
      </c>
      <c r="N259" s="76">
        <f t="shared" si="53"/>
        <v>2083.9607291380103</v>
      </c>
      <c r="O259" s="76">
        <f t="shared" si="53"/>
        <v>2924.8503364293902</v>
      </c>
      <c r="P259" s="76">
        <f t="shared" si="53"/>
        <v>2125.8483397936843</v>
      </c>
      <c r="Q259" s="76">
        <f t="shared" si="53"/>
        <v>2147.1068231916215</v>
      </c>
      <c r="R259" s="76">
        <f t="shared" si="53"/>
        <v>2988.6278914235377</v>
      </c>
      <c r="S259" s="76">
        <f t="shared" si="53"/>
        <v>2190.263670337773</v>
      </c>
      <c r="T259" s="76">
        <f t="shared" si="53"/>
        <v>2212.1663070411505</v>
      </c>
      <c r="U259" s="76">
        <f t="shared" si="53"/>
        <v>3054.3379701115628</v>
      </c>
      <c r="V259" s="76">
        <f t="shared" si="53"/>
        <v>2256.6308498126778</v>
      </c>
      <c r="W259" s="76">
        <f t="shared" si="53"/>
        <v>2279.1971583108048</v>
      </c>
      <c r="X259" s="76">
        <f t="shared" si="53"/>
        <v>3122.0391298939126</v>
      </c>
      <c r="Y259" s="76">
        <f t="shared" si="53"/>
        <v>2325.0090211928518</v>
      </c>
      <c r="Z259" s="77">
        <f t="shared" si="53"/>
        <v>2348.2591114047805</v>
      </c>
    </row>
    <row r="260" spans="1:26" x14ac:dyDescent="0.25">
      <c r="A260" s="38"/>
      <c r="B260" s="9" t="s">
        <v>262</v>
      </c>
      <c r="C260" s="2"/>
      <c r="D260" s="2"/>
      <c r="E260" s="2"/>
      <c r="F260" s="76"/>
      <c r="G260" s="76">
        <f>0.3*$H$14*($H$163*G204+$H$164)</f>
        <v>308.1862660944206</v>
      </c>
      <c r="H260" s="76"/>
      <c r="I260" s="76"/>
      <c r="J260" s="76"/>
      <c r="K260" s="76"/>
      <c r="L260" s="76"/>
      <c r="M260" s="76"/>
      <c r="N260" s="76"/>
      <c r="O260" s="76"/>
      <c r="P260" s="76">
        <f>0.3*$H$14*($H$163*P204+$H$164)</f>
        <v>308.1862660944206</v>
      </c>
      <c r="Q260" s="76"/>
      <c r="R260" s="76"/>
      <c r="S260" s="76"/>
      <c r="T260" s="76"/>
      <c r="U260" s="76"/>
      <c r="V260" s="76"/>
      <c r="W260" s="76"/>
      <c r="X260" s="76"/>
      <c r="Y260" s="76"/>
      <c r="Z260" s="77">
        <f>0.3*$H$14*($H$163*Z204+$H$164)</f>
        <v>308.1862660944206</v>
      </c>
    </row>
    <row r="261" spans="1:26" x14ac:dyDescent="0.25">
      <c r="A261" s="27"/>
      <c r="B261" s="9" t="s">
        <v>62</v>
      </c>
      <c r="C261" s="2"/>
      <c r="D261" s="2"/>
      <c r="E261" s="2"/>
      <c r="F261" s="76">
        <f>F232</f>
        <v>3573.3043499999999</v>
      </c>
      <c r="G261" s="76">
        <f t="shared" ref="G261:I262" si="54">G232*0.7</f>
        <v>2586.3576885299999</v>
      </c>
      <c r="H261" s="76">
        <f t="shared" si="54"/>
        <v>1016.6581851223333</v>
      </c>
      <c r="I261" s="76">
        <f t="shared" si="54"/>
        <v>1051.2245634164929</v>
      </c>
      <c r="J261" s="76">
        <f>J232*0.7+0.3*0.33*J232</f>
        <v>1240.6942752279288</v>
      </c>
      <c r="K261" s="76">
        <f>K232*0.7+0.3*0.66*K232</f>
        <v>1394.4223518832041</v>
      </c>
      <c r="L261" s="76">
        <f t="shared" ref="L261:O262" si="55">L232</f>
        <v>1552.8088551037908</v>
      </c>
      <c r="M261" s="76">
        <f t="shared" si="55"/>
        <v>1552.8088551037908</v>
      </c>
      <c r="N261" s="76">
        <f t="shared" si="55"/>
        <v>1552.8088551037908</v>
      </c>
      <c r="O261" s="76">
        <f t="shared" si="55"/>
        <v>1552.8088551037908</v>
      </c>
      <c r="P261" s="76">
        <f t="shared" ref="P261:R262" si="56">P232*0.7</f>
        <v>1086.9661985726534</v>
      </c>
      <c r="Q261" s="76">
        <f t="shared" si="56"/>
        <v>1086.9661985726534</v>
      </c>
      <c r="R261" s="76">
        <f t="shared" si="56"/>
        <v>1086.9661985726534</v>
      </c>
      <c r="S261" s="76">
        <f>S232*0.7+0.3*0.33*S232</f>
        <v>1240.6942752279288</v>
      </c>
      <c r="T261" s="76">
        <f>T232*0.7+0.3*0.66*T232</f>
        <v>1394.4223518832041</v>
      </c>
      <c r="U261" s="76">
        <f t="shared" ref="U261:Y262" si="57">U232</f>
        <v>1552.8088551037908</v>
      </c>
      <c r="V261" s="76">
        <f t="shared" si="57"/>
        <v>1552.8088551037908</v>
      </c>
      <c r="W261" s="76">
        <f t="shared" si="57"/>
        <v>1552.8088551037908</v>
      </c>
      <c r="X261" s="76">
        <f t="shared" si="57"/>
        <v>1552.8088551037908</v>
      </c>
      <c r="Y261" s="76">
        <f t="shared" si="57"/>
        <v>1552.8088551037908</v>
      </c>
      <c r="Z261" s="77">
        <f>Z232*0.7</f>
        <v>1086.9661985726534</v>
      </c>
    </row>
    <row r="262" spans="1:26" x14ac:dyDescent="0.25">
      <c r="A262" s="27"/>
      <c r="B262" s="9" t="s">
        <v>63</v>
      </c>
      <c r="C262" s="2"/>
      <c r="D262" s="2"/>
      <c r="E262" s="2"/>
      <c r="F262" s="76">
        <f>F233</f>
        <v>7579.7364999999982</v>
      </c>
      <c r="G262" s="76">
        <f t="shared" si="54"/>
        <v>5486.2132786999982</v>
      </c>
      <c r="H262" s="76">
        <f t="shared" si="54"/>
        <v>9059.3303624762393</v>
      </c>
      <c r="I262" s="76">
        <f t="shared" si="54"/>
        <v>9367.3475948004325</v>
      </c>
      <c r="J262" s="76">
        <f>J233*0.7+0.3*0.33*J233</f>
        <v>11055.69156143699</v>
      </c>
      <c r="K262" s="76">
        <f>K233*0.7+0.3*0.66*K233</f>
        <v>12425.545709850336</v>
      </c>
      <c r="L262" s="76">
        <f t="shared" si="55"/>
        <v>13836.910590033782</v>
      </c>
      <c r="M262" s="76">
        <f t="shared" si="55"/>
        <v>13836.910590033782</v>
      </c>
      <c r="N262" s="76">
        <f t="shared" si="55"/>
        <v>13836.910590033782</v>
      </c>
      <c r="O262" s="76">
        <f t="shared" si="55"/>
        <v>13836.910590033782</v>
      </c>
      <c r="P262" s="76">
        <f t="shared" si="56"/>
        <v>9685.8374130236461</v>
      </c>
      <c r="Q262" s="76">
        <f t="shared" si="56"/>
        <v>9685.8374130236461</v>
      </c>
      <c r="R262" s="76">
        <f t="shared" si="56"/>
        <v>9685.8374130236461</v>
      </c>
      <c r="S262" s="76">
        <f>S233*0.7+0.3*0.33*S233</f>
        <v>11055.69156143699</v>
      </c>
      <c r="T262" s="76">
        <f>T233*0.7+0.3*0.66*T233</f>
        <v>12425.545709850336</v>
      </c>
      <c r="U262" s="76">
        <f t="shared" si="57"/>
        <v>13836.910590033782</v>
      </c>
      <c r="V262" s="76">
        <f t="shared" si="57"/>
        <v>13836.910590033782</v>
      </c>
      <c r="W262" s="76">
        <f t="shared" si="57"/>
        <v>13836.910590033782</v>
      </c>
      <c r="X262" s="76">
        <f t="shared" si="57"/>
        <v>13836.910590033782</v>
      </c>
      <c r="Y262" s="76">
        <f t="shared" si="57"/>
        <v>13836.910590033782</v>
      </c>
      <c r="Z262" s="77">
        <f>Z233*0.7</f>
        <v>9685.8374130236461</v>
      </c>
    </row>
    <row r="263" spans="1:26" x14ac:dyDescent="0.25">
      <c r="A263" s="27"/>
      <c r="B263" s="56" t="s">
        <v>57</v>
      </c>
      <c r="C263" s="39"/>
      <c r="D263" s="39"/>
      <c r="E263" s="39"/>
      <c r="F263" s="109">
        <f t="shared" ref="F263:Z263" si="58">SUM(F261:F262)-SUM(F258:F260)</f>
        <v>4607.5581804721014</v>
      </c>
      <c r="G263" s="109">
        <f t="shared" si="58"/>
        <v>-488.37597176857344</v>
      </c>
      <c r="H263" s="109">
        <f t="shared" si="58"/>
        <v>1803.7903967207458</v>
      </c>
      <c r="I263" s="109">
        <f t="shared" si="58"/>
        <v>1306.6921545856858</v>
      </c>
      <c r="J263" s="109">
        <f t="shared" si="58"/>
        <v>3984.7276617527314</v>
      </c>
      <c r="K263" s="109">
        <f t="shared" si="58"/>
        <v>5488.2834338275952</v>
      </c>
      <c r="L263" s="109">
        <f t="shared" si="58"/>
        <v>6217.7580997079331</v>
      </c>
      <c r="M263" s="109">
        <f t="shared" si="58"/>
        <v>7017.3791150090019</v>
      </c>
      <c r="N263" s="109">
        <f t="shared" si="58"/>
        <v>6996.7458404630815</v>
      </c>
      <c r="O263" s="109">
        <f t="shared" si="58"/>
        <v>6155.8562331717003</v>
      </c>
      <c r="P263" s="109">
        <f t="shared" si="58"/>
        <v>2029.7561301717142</v>
      </c>
      <c r="Q263" s="109">
        <f t="shared" si="58"/>
        <v>2316.6839128681968</v>
      </c>
      <c r="R263" s="109">
        <f t="shared" si="58"/>
        <v>1475.1628446362811</v>
      </c>
      <c r="S263" s="109">
        <f t="shared" si="58"/>
        <v>3797.1092907906641</v>
      </c>
      <c r="T263" s="109">
        <f t="shared" si="58"/>
        <v>5298.7888791559089</v>
      </c>
      <c r="U263" s="109">
        <f t="shared" si="58"/>
        <v>6026.3685994895277</v>
      </c>
      <c r="V263" s="109">
        <f t="shared" si="58"/>
        <v>6824.0757197884141</v>
      </c>
      <c r="W263" s="109">
        <f t="shared" si="58"/>
        <v>6801.5094112902862</v>
      </c>
      <c r="X263" s="109">
        <f t="shared" si="58"/>
        <v>5958.6674397071783</v>
      </c>
      <c r="Y263" s="109">
        <f t="shared" si="58"/>
        <v>6755.6975484082395</v>
      </c>
      <c r="Z263" s="110">
        <f t="shared" si="58"/>
        <v>1807.3453585606185</v>
      </c>
    </row>
    <row r="264" spans="1:26" x14ac:dyDescent="0.25">
      <c r="A264" s="27"/>
      <c r="B264" s="9"/>
      <c r="C264" s="2"/>
      <c r="D264" s="2"/>
      <c r="E264" s="2"/>
      <c r="F264" s="76"/>
      <c r="G264" s="76"/>
      <c r="H264" s="76"/>
      <c r="I264" s="76"/>
      <c r="J264" s="76"/>
      <c r="K264" s="76"/>
      <c r="L264" s="76"/>
      <c r="M264" s="76"/>
      <c r="N264" s="76"/>
      <c r="O264" s="76"/>
      <c r="P264" s="76"/>
      <c r="Q264" s="78"/>
      <c r="R264" s="78"/>
      <c r="S264" s="78"/>
      <c r="T264" s="78"/>
      <c r="U264" s="78"/>
      <c r="V264" s="78"/>
      <c r="W264" s="78"/>
      <c r="X264" s="78"/>
      <c r="Y264" s="78"/>
      <c r="Z264" s="75"/>
    </row>
    <row r="265" spans="1:26" x14ac:dyDescent="0.25">
      <c r="A265" s="27"/>
      <c r="B265" s="9" t="s">
        <v>201</v>
      </c>
      <c r="C265" s="2"/>
      <c r="D265" s="2"/>
      <c r="E265" s="2"/>
      <c r="F265" s="76"/>
      <c r="G265" s="76"/>
      <c r="H265" s="76"/>
      <c r="I265" s="76"/>
      <c r="J265" s="76"/>
      <c r="K265" s="76"/>
      <c r="L265" s="76"/>
      <c r="M265" s="76"/>
      <c r="N265" s="76"/>
      <c r="O265" s="76"/>
      <c r="P265" s="76"/>
      <c r="Q265" s="78"/>
      <c r="R265" s="78"/>
      <c r="S265" s="78"/>
      <c r="T265" s="78"/>
      <c r="U265" s="78"/>
      <c r="V265" s="78"/>
      <c r="W265" s="78"/>
      <c r="X265" s="78"/>
      <c r="Y265" s="78"/>
      <c r="Z265" s="79"/>
    </row>
    <row r="266" spans="1:26" x14ac:dyDescent="0.25">
      <c r="A266" s="27"/>
      <c r="B266" s="106" t="s">
        <v>60</v>
      </c>
      <c r="C266" s="2"/>
      <c r="D266" s="2"/>
      <c r="E266" s="2"/>
      <c r="F266" s="76">
        <f t="shared" ref="F266:Z266" si="59">F258-F250</f>
        <v>0</v>
      </c>
      <c r="G266" s="76">
        <f t="shared" si="59"/>
        <v>2072.9613733905589</v>
      </c>
      <c r="H266" s="76">
        <f t="shared" si="59"/>
        <v>2072.9613733905589</v>
      </c>
      <c r="I266" s="76">
        <f t="shared" si="59"/>
        <v>2072.9613733905589</v>
      </c>
      <c r="J266" s="76">
        <f t="shared" si="59"/>
        <v>2072.9613733905589</v>
      </c>
      <c r="K266" s="76">
        <f t="shared" si="59"/>
        <v>2072.9613733905589</v>
      </c>
      <c r="L266" s="76">
        <f t="shared" si="59"/>
        <v>2072.9613733905589</v>
      </c>
      <c r="M266" s="76">
        <f t="shared" si="59"/>
        <v>2072.9613733905589</v>
      </c>
      <c r="N266" s="76">
        <f t="shared" si="59"/>
        <v>2072.9613733905589</v>
      </c>
      <c r="O266" s="76">
        <f t="shared" si="59"/>
        <v>2072.9613733905589</v>
      </c>
      <c r="P266" s="76">
        <f t="shared" si="59"/>
        <v>2072.9613733905589</v>
      </c>
      <c r="Q266" s="76">
        <f t="shared" si="59"/>
        <v>2072.9613733905589</v>
      </c>
      <c r="R266" s="76">
        <f t="shared" si="59"/>
        <v>2072.9613733905589</v>
      </c>
      <c r="S266" s="76">
        <f t="shared" si="59"/>
        <v>2072.9613733905589</v>
      </c>
      <c r="T266" s="76">
        <f t="shared" si="59"/>
        <v>2072.9613733905589</v>
      </c>
      <c r="U266" s="76">
        <f t="shared" si="59"/>
        <v>2072.9613733905589</v>
      </c>
      <c r="V266" s="76">
        <f t="shared" si="59"/>
        <v>2072.9613733905589</v>
      </c>
      <c r="W266" s="76">
        <f t="shared" si="59"/>
        <v>2072.9613733905589</v>
      </c>
      <c r="X266" s="76">
        <f t="shared" si="59"/>
        <v>2072.9613733905589</v>
      </c>
      <c r="Y266" s="76">
        <f t="shared" si="59"/>
        <v>2072.9613733905589</v>
      </c>
      <c r="Z266" s="77">
        <f t="shared" si="59"/>
        <v>2072.9613733905589</v>
      </c>
    </row>
    <row r="267" spans="1:26" x14ac:dyDescent="0.25">
      <c r="A267" s="27"/>
      <c r="B267" s="9" t="s">
        <v>61</v>
      </c>
      <c r="C267" s="2"/>
      <c r="D267" s="2"/>
      <c r="E267" s="2"/>
      <c r="F267" s="76">
        <f t="shared" ref="F267:Z267" si="60">F259-F251</f>
        <v>0</v>
      </c>
      <c r="G267" s="76">
        <f t="shared" si="60"/>
        <v>439.47281831187502</v>
      </c>
      <c r="H267" s="76">
        <f t="shared" si="60"/>
        <v>443.86754649499358</v>
      </c>
      <c r="I267" s="76">
        <f t="shared" si="60"/>
        <v>448.30622195994329</v>
      </c>
      <c r="J267" s="76">
        <f t="shared" si="60"/>
        <v>452.78928417954285</v>
      </c>
      <c r="K267" s="76">
        <f t="shared" si="60"/>
        <v>457.31717702133824</v>
      </c>
      <c r="L267" s="76">
        <f t="shared" si="60"/>
        <v>461.89034879155179</v>
      </c>
      <c r="M267" s="76">
        <f t="shared" si="60"/>
        <v>466.50925227946686</v>
      </c>
      <c r="N267" s="76">
        <f t="shared" si="60"/>
        <v>471.17434480226188</v>
      </c>
      <c r="O267" s="76">
        <f t="shared" si="60"/>
        <v>475.88608825028405</v>
      </c>
      <c r="P267" s="76">
        <f t="shared" si="60"/>
        <v>480.64494913278713</v>
      </c>
      <c r="Q267" s="76">
        <f t="shared" si="60"/>
        <v>485.45139862411543</v>
      </c>
      <c r="R267" s="76">
        <f t="shared" si="60"/>
        <v>490.3059126103567</v>
      </c>
      <c r="S267" s="76">
        <f t="shared" si="60"/>
        <v>495.20897173645994</v>
      </c>
      <c r="T267" s="76">
        <f t="shared" si="60"/>
        <v>500.16106145382446</v>
      </c>
      <c r="U267" s="76">
        <f t="shared" si="60"/>
        <v>505.16267206836346</v>
      </c>
      <c r="V267" s="76">
        <f t="shared" si="60"/>
        <v>510.21429878904655</v>
      </c>
      <c r="W267" s="76">
        <f t="shared" si="60"/>
        <v>515.31644177693715</v>
      </c>
      <c r="X267" s="76">
        <f t="shared" si="60"/>
        <v>520.4696061947061</v>
      </c>
      <c r="Y267" s="76">
        <f t="shared" si="60"/>
        <v>525.67430225665362</v>
      </c>
      <c r="Z267" s="77">
        <f t="shared" si="60"/>
        <v>530.93104527921992</v>
      </c>
    </row>
    <row r="268" spans="1:26" x14ac:dyDescent="0.25">
      <c r="A268" s="27"/>
      <c r="B268" s="9" t="s">
        <v>262</v>
      </c>
      <c r="C268" s="2"/>
      <c r="D268" s="2"/>
      <c r="E268" s="2"/>
      <c r="F268" s="76">
        <f t="shared" ref="F268:Z268" si="61">F260-F252</f>
        <v>0</v>
      </c>
      <c r="G268" s="76">
        <f t="shared" si="61"/>
        <v>225.56824034334764</v>
      </c>
      <c r="H268" s="76">
        <f t="shared" si="61"/>
        <v>0</v>
      </c>
      <c r="I268" s="76">
        <f t="shared" si="61"/>
        <v>0</v>
      </c>
      <c r="J268" s="76">
        <f t="shared" si="61"/>
        <v>0</v>
      </c>
      <c r="K268" s="76">
        <f t="shared" si="61"/>
        <v>0</v>
      </c>
      <c r="L268" s="76">
        <f t="shared" si="61"/>
        <v>0</v>
      </c>
      <c r="M268" s="76">
        <f t="shared" si="61"/>
        <v>0</v>
      </c>
      <c r="N268" s="76">
        <f t="shared" si="61"/>
        <v>0</v>
      </c>
      <c r="O268" s="76">
        <f t="shared" si="61"/>
        <v>0</v>
      </c>
      <c r="P268" s="76">
        <f t="shared" si="61"/>
        <v>225.56824034334764</v>
      </c>
      <c r="Q268" s="76">
        <f t="shared" si="61"/>
        <v>0</v>
      </c>
      <c r="R268" s="76">
        <f t="shared" si="61"/>
        <v>0</v>
      </c>
      <c r="S268" s="76">
        <f t="shared" si="61"/>
        <v>0</v>
      </c>
      <c r="T268" s="76">
        <f t="shared" si="61"/>
        <v>0</v>
      </c>
      <c r="U268" s="76">
        <f t="shared" si="61"/>
        <v>0</v>
      </c>
      <c r="V268" s="76">
        <f t="shared" si="61"/>
        <v>0</v>
      </c>
      <c r="W268" s="76">
        <f t="shared" si="61"/>
        <v>0</v>
      </c>
      <c r="X268" s="76">
        <f t="shared" si="61"/>
        <v>0</v>
      </c>
      <c r="Y268" s="76">
        <f t="shared" si="61"/>
        <v>0</v>
      </c>
      <c r="Z268" s="77">
        <f t="shared" si="61"/>
        <v>225.56824034334764</v>
      </c>
    </row>
    <row r="269" spans="1:26" x14ac:dyDescent="0.25">
      <c r="A269" s="27"/>
      <c r="B269" s="9" t="s">
        <v>62</v>
      </c>
      <c r="C269" s="2"/>
      <c r="D269" s="2"/>
      <c r="E269" s="2"/>
      <c r="F269" s="76">
        <f t="shared" ref="F269:Z269" si="62">F261-F253</f>
        <v>0</v>
      </c>
      <c r="G269" s="76">
        <f t="shared" si="62"/>
        <v>85.04464353000003</v>
      </c>
      <c r="H269" s="76">
        <f t="shared" si="62"/>
        <v>-1484.6548598776667</v>
      </c>
      <c r="I269" s="76">
        <f t="shared" si="62"/>
        <v>-1450.088481583507</v>
      </c>
      <c r="J269" s="76">
        <f t="shared" si="62"/>
        <v>-1614.375900422071</v>
      </c>
      <c r="K269" s="76">
        <f t="shared" si="62"/>
        <v>-1814.4049544167956</v>
      </c>
      <c r="L269" s="76">
        <f t="shared" si="62"/>
        <v>-2020.495494896209</v>
      </c>
      <c r="M269" s="76">
        <f t="shared" si="62"/>
        <v>-2020.495494896209</v>
      </c>
      <c r="N269" s="76">
        <f t="shared" si="62"/>
        <v>-2020.495494896209</v>
      </c>
      <c r="O269" s="76">
        <f t="shared" si="62"/>
        <v>-2020.495494896209</v>
      </c>
      <c r="P269" s="76">
        <f t="shared" si="62"/>
        <v>-1414.3468464273465</v>
      </c>
      <c r="Q269" s="76">
        <f t="shared" si="62"/>
        <v>-1414.3468464273465</v>
      </c>
      <c r="R269" s="76">
        <f t="shared" si="62"/>
        <v>-1414.3468464273465</v>
      </c>
      <c r="S269" s="76">
        <f t="shared" si="62"/>
        <v>-1614.375900422071</v>
      </c>
      <c r="T269" s="76">
        <f t="shared" si="62"/>
        <v>-1814.4049544167956</v>
      </c>
      <c r="U269" s="76">
        <f t="shared" si="62"/>
        <v>-2020.495494896209</v>
      </c>
      <c r="V269" s="76">
        <f t="shared" si="62"/>
        <v>-2020.495494896209</v>
      </c>
      <c r="W269" s="76">
        <f t="shared" si="62"/>
        <v>-2020.495494896209</v>
      </c>
      <c r="X269" s="76">
        <f t="shared" si="62"/>
        <v>-2020.495494896209</v>
      </c>
      <c r="Y269" s="76">
        <f t="shared" si="62"/>
        <v>-2020.495494896209</v>
      </c>
      <c r="Z269" s="77">
        <f t="shared" si="62"/>
        <v>-1414.3468464273465</v>
      </c>
    </row>
    <row r="270" spans="1:26" x14ac:dyDescent="0.25">
      <c r="A270" s="27"/>
      <c r="B270" s="9" t="s">
        <v>63</v>
      </c>
      <c r="C270" s="2"/>
      <c r="D270" s="2"/>
      <c r="E270" s="2"/>
      <c r="F270" s="76">
        <f t="shared" ref="F270:Z270" si="63">F262-F254</f>
        <v>0</v>
      </c>
      <c r="G270" s="76">
        <f t="shared" si="63"/>
        <v>180.39772869999979</v>
      </c>
      <c r="H270" s="76">
        <f t="shared" si="63"/>
        <v>3753.5148124762409</v>
      </c>
      <c r="I270" s="76">
        <f t="shared" si="63"/>
        <v>4061.5320448004341</v>
      </c>
      <c r="J270" s="76">
        <f t="shared" si="63"/>
        <v>4999.4820979369915</v>
      </c>
      <c r="K270" s="76">
        <f t="shared" si="63"/>
        <v>5618.9423328503381</v>
      </c>
      <c r="L270" s="76">
        <f t="shared" si="63"/>
        <v>6257.1740900337836</v>
      </c>
      <c r="M270" s="76">
        <f t="shared" si="63"/>
        <v>6257.1740900337836</v>
      </c>
      <c r="N270" s="76">
        <f t="shared" si="63"/>
        <v>6257.1740900337836</v>
      </c>
      <c r="O270" s="76">
        <f t="shared" si="63"/>
        <v>6257.1740900337836</v>
      </c>
      <c r="P270" s="76">
        <f t="shared" si="63"/>
        <v>4380.0218630236477</v>
      </c>
      <c r="Q270" s="76">
        <f t="shared" si="63"/>
        <v>4380.0218630236477</v>
      </c>
      <c r="R270" s="76">
        <f t="shared" si="63"/>
        <v>4380.0218630236477</v>
      </c>
      <c r="S270" s="76">
        <f t="shared" si="63"/>
        <v>4999.4820979369915</v>
      </c>
      <c r="T270" s="76">
        <f t="shared" si="63"/>
        <v>5618.9423328503381</v>
      </c>
      <c r="U270" s="76">
        <f t="shared" si="63"/>
        <v>6257.1740900337836</v>
      </c>
      <c r="V270" s="76">
        <f t="shared" si="63"/>
        <v>6257.1740900337836</v>
      </c>
      <c r="W270" s="76">
        <f t="shared" si="63"/>
        <v>6257.1740900337836</v>
      </c>
      <c r="X270" s="76">
        <f t="shared" si="63"/>
        <v>6257.1740900337836</v>
      </c>
      <c r="Y270" s="76">
        <f t="shared" si="63"/>
        <v>6257.1740900337836</v>
      </c>
      <c r="Z270" s="222">
        <f t="shared" si="63"/>
        <v>4380.0218630236477</v>
      </c>
    </row>
    <row r="271" spans="1:26" x14ac:dyDescent="0.25">
      <c r="A271" s="27"/>
      <c r="B271" s="56" t="s">
        <v>15</v>
      </c>
      <c r="C271" s="39"/>
      <c r="D271" s="39"/>
      <c r="E271" s="39"/>
      <c r="F271" s="109">
        <f t="shared" ref="F271:Z271" si="64">F263-F255</f>
        <v>0</v>
      </c>
      <c r="G271" s="109">
        <f t="shared" si="64"/>
        <v>-2472.5600598157826</v>
      </c>
      <c r="H271" s="109">
        <f t="shared" si="64"/>
        <v>-247.96896728697902</v>
      </c>
      <c r="I271" s="109">
        <f t="shared" si="64"/>
        <v>90.175967866424799</v>
      </c>
      <c r="J271" s="109">
        <f t="shared" si="64"/>
        <v>859.35553994481961</v>
      </c>
      <c r="K271" s="109">
        <f t="shared" si="64"/>
        <v>1274.2588280216451</v>
      </c>
      <c r="L271" s="109">
        <f t="shared" si="64"/>
        <v>1701.8268729554638</v>
      </c>
      <c r="M271" s="109">
        <f t="shared" si="64"/>
        <v>1697.2079694675485</v>
      </c>
      <c r="N271" s="109">
        <f t="shared" si="64"/>
        <v>1692.5428769447544</v>
      </c>
      <c r="O271" s="109">
        <f t="shared" si="64"/>
        <v>1687.8311334967311</v>
      </c>
      <c r="P271" s="109">
        <f t="shared" si="64"/>
        <v>186.50045372960813</v>
      </c>
      <c r="Q271" s="109">
        <f t="shared" si="64"/>
        <v>407.26224458162687</v>
      </c>
      <c r="R271" s="109">
        <f t="shared" si="64"/>
        <v>402.40773059538606</v>
      </c>
      <c r="S271" s="109">
        <f t="shared" si="64"/>
        <v>816.93585238790183</v>
      </c>
      <c r="T271" s="109">
        <f t="shared" si="64"/>
        <v>1231.4149435891595</v>
      </c>
      <c r="U271" s="109">
        <f t="shared" si="64"/>
        <v>1658.5545496786517</v>
      </c>
      <c r="V271" s="109">
        <f t="shared" si="64"/>
        <v>1653.5029229579704</v>
      </c>
      <c r="W271" s="109">
        <f t="shared" si="64"/>
        <v>1648.4007799700785</v>
      </c>
      <c r="X271" s="109">
        <f t="shared" si="64"/>
        <v>1643.2476155523091</v>
      </c>
      <c r="Y271" s="109">
        <f t="shared" si="64"/>
        <v>1638.0429194903627</v>
      </c>
      <c r="Z271" s="110">
        <f t="shared" si="64"/>
        <v>136.21435758317602</v>
      </c>
    </row>
    <row r="272" spans="1:26" x14ac:dyDescent="0.25">
      <c r="A272" s="27"/>
      <c r="B272" s="9"/>
      <c r="C272" s="2"/>
      <c r="D272" s="2"/>
      <c r="E272" s="2"/>
      <c r="F272" s="76"/>
      <c r="G272" s="76"/>
      <c r="H272" s="76"/>
      <c r="I272" s="76"/>
      <c r="J272" s="76"/>
      <c r="K272" s="76"/>
      <c r="L272" s="76"/>
      <c r="M272" s="76"/>
      <c r="N272" s="76"/>
      <c r="O272" s="76"/>
      <c r="P272" s="76"/>
      <c r="Q272" s="76"/>
      <c r="R272" s="76"/>
      <c r="S272" s="76"/>
      <c r="T272" s="76"/>
      <c r="U272" s="76"/>
      <c r="V272" s="76"/>
      <c r="W272" s="76"/>
      <c r="X272" s="76"/>
      <c r="Y272" s="76"/>
      <c r="Z272" s="77"/>
    </row>
    <row r="273" spans="1:26" x14ac:dyDescent="0.25">
      <c r="A273" s="27"/>
      <c r="B273" s="111" t="s">
        <v>66</v>
      </c>
      <c r="C273" s="272">
        <f>NPV($D$168,H271:AA271)+G271</f>
        <v>4256.708448538533</v>
      </c>
      <c r="D273" s="4"/>
      <c r="E273" s="2"/>
      <c r="F273" s="76"/>
      <c r="G273" s="76"/>
      <c r="H273" s="76"/>
      <c r="I273" s="76"/>
      <c r="J273" s="76"/>
      <c r="K273" s="76"/>
      <c r="L273" s="76"/>
      <c r="M273" s="76"/>
      <c r="N273" s="76"/>
      <c r="O273" s="76"/>
      <c r="P273" s="76"/>
      <c r="Q273" s="76"/>
      <c r="R273" s="76"/>
      <c r="S273" s="76"/>
      <c r="T273" s="76"/>
      <c r="U273" s="76"/>
      <c r="V273" s="76"/>
      <c r="W273" s="76"/>
      <c r="X273" s="76"/>
      <c r="Y273" s="76"/>
      <c r="Z273" s="77"/>
    </row>
    <row r="274" spans="1:26" ht="15.75" thickBot="1" x14ac:dyDescent="0.3">
      <c r="A274" s="27"/>
      <c r="B274" s="16"/>
      <c r="C274" s="12"/>
      <c r="D274" s="12"/>
      <c r="E274" s="12"/>
      <c r="F274" s="80"/>
      <c r="G274" s="80"/>
      <c r="H274" s="80"/>
      <c r="I274" s="80"/>
      <c r="J274" s="80"/>
      <c r="K274" s="80"/>
      <c r="L274" s="80"/>
      <c r="M274" s="80"/>
      <c r="N274" s="80"/>
      <c r="O274" s="80"/>
      <c r="P274" s="80"/>
      <c r="Q274" s="81"/>
      <c r="R274" s="81"/>
      <c r="S274" s="81"/>
      <c r="T274" s="81"/>
      <c r="U274" s="81"/>
      <c r="V274" s="81"/>
      <c r="W274" s="81"/>
      <c r="X274" s="81"/>
      <c r="Y274" s="81"/>
      <c r="Z274" s="82"/>
    </row>
    <row r="275" spans="1:26" ht="15.75" thickBot="1" x14ac:dyDescent="0.3">
      <c r="B275" s="4"/>
      <c r="C275" s="4"/>
      <c r="D275" s="4"/>
      <c r="E275" s="4"/>
      <c r="F275" s="26"/>
      <c r="G275" s="26"/>
      <c r="H275" s="26"/>
      <c r="I275" s="26"/>
      <c r="J275" s="26"/>
      <c r="K275" s="26"/>
      <c r="L275" s="26"/>
      <c r="M275" s="26"/>
      <c r="N275" s="26"/>
      <c r="O275" s="26"/>
      <c r="P275" s="26"/>
    </row>
    <row r="276" spans="1:26" x14ac:dyDescent="0.25">
      <c r="A276" s="1"/>
      <c r="B276" s="48" t="s">
        <v>263</v>
      </c>
      <c r="C276" s="49"/>
      <c r="D276" s="49"/>
      <c r="E276" s="50"/>
      <c r="F276" s="50"/>
      <c r="G276" s="50"/>
      <c r="H276" s="50"/>
      <c r="I276" s="50"/>
      <c r="J276" s="50"/>
      <c r="K276" s="50"/>
      <c r="L276" s="50"/>
      <c r="M276" s="50"/>
      <c r="N276" s="50"/>
      <c r="O276" s="50"/>
      <c r="P276" s="50"/>
      <c r="Q276" s="50"/>
      <c r="R276" s="50"/>
      <c r="S276" s="50"/>
      <c r="T276" s="50"/>
      <c r="U276" s="50"/>
      <c r="V276" s="50"/>
      <c r="W276" s="50"/>
      <c r="X276" s="50"/>
      <c r="Y276" s="50"/>
      <c r="Z276" s="51"/>
    </row>
    <row r="277" spans="1:26" x14ac:dyDescent="0.25">
      <c r="A277" s="1"/>
      <c r="B277" s="154"/>
      <c r="C277" s="142"/>
      <c r="D277" s="142"/>
      <c r="E277" s="143" t="s">
        <v>8</v>
      </c>
      <c r="F277" s="144">
        <v>0</v>
      </c>
      <c r="G277" s="144">
        <v>1</v>
      </c>
      <c r="H277" s="144">
        <v>2</v>
      </c>
      <c r="I277" s="144">
        <v>3</v>
      </c>
      <c r="J277" s="144">
        <v>4</v>
      </c>
      <c r="K277" s="144">
        <v>5</v>
      </c>
      <c r="L277" s="144">
        <v>6</v>
      </c>
      <c r="M277" s="144">
        <v>7</v>
      </c>
      <c r="N277" s="144">
        <v>8</v>
      </c>
      <c r="O277" s="144">
        <v>9</v>
      </c>
      <c r="P277" s="144">
        <v>10</v>
      </c>
      <c r="Q277" s="144">
        <v>11</v>
      </c>
      <c r="R277" s="144">
        <v>12</v>
      </c>
      <c r="S277" s="144">
        <v>13</v>
      </c>
      <c r="T277" s="144">
        <v>14</v>
      </c>
      <c r="U277" s="144">
        <v>15</v>
      </c>
      <c r="V277" s="144">
        <v>16</v>
      </c>
      <c r="W277" s="144">
        <v>17</v>
      </c>
      <c r="X277" s="144">
        <v>18</v>
      </c>
      <c r="Y277" s="144">
        <v>19</v>
      </c>
      <c r="Z277" s="145">
        <v>20</v>
      </c>
    </row>
    <row r="278" spans="1:26" x14ac:dyDescent="0.25">
      <c r="B278" s="9"/>
      <c r="C278" s="2"/>
      <c r="D278" s="2"/>
      <c r="E278" s="2"/>
      <c r="F278" s="74"/>
      <c r="G278" s="74"/>
      <c r="H278" s="74"/>
      <c r="I278" s="74"/>
      <c r="J278" s="74"/>
      <c r="K278" s="74"/>
      <c r="L278" s="74"/>
      <c r="M278" s="74"/>
      <c r="N278" s="74"/>
      <c r="O278" s="74"/>
      <c r="P278" s="74"/>
      <c r="Q278" s="74"/>
      <c r="R278" s="74"/>
      <c r="S278" s="74"/>
      <c r="T278" s="74"/>
      <c r="U278" s="74"/>
      <c r="V278" s="74"/>
      <c r="W278" s="74"/>
      <c r="X278" s="74"/>
      <c r="Y278" s="74"/>
      <c r="Z278" s="75"/>
    </row>
    <row r="279" spans="1:26" s="69" customFormat="1" ht="15.75" x14ac:dyDescent="0.25">
      <c r="B279" s="107" t="s">
        <v>64</v>
      </c>
      <c r="C279" s="4"/>
      <c r="D279" s="4"/>
      <c r="E279" s="4"/>
      <c r="F279" s="76"/>
      <c r="G279" s="76"/>
      <c r="H279" s="76"/>
      <c r="I279" s="76"/>
      <c r="J279" s="76"/>
      <c r="K279" s="76"/>
      <c r="L279" s="76"/>
      <c r="M279" s="76"/>
      <c r="N279" s="76"/>
      <c r="O279" s="76"/>
      <c r="P279" s="76"/>
      <c r="Q279" s="76"/>
      <c r="R279" s="76"/>
      <c r="S279" s="76"/>
      <c r="T279" s="76"/>
      <c r="U279" s="76"/>
      <c r="V279" s="76"/>
      <c r="W279" s="76"/>
      <c r="X279" s="76"/>
      <c r="Y279" s="76"/>
      <c r="Z279" s="77"/>
    </row>
    <row r="280" spans="1:26" s="69" customFormat="1" x14ac:dyDescent="0.25">
      <c r="B280" s="106" t="s">
        <v>60</v>
      </c>
      <c r="C280" s="4"/>
      <c r="D280" s="4"/>
      <c r="E280" s="4"/>
      <c r="F280" s="76">
        <f t="shared" ref="F280:Z280" si="65">$F$160*F205*$F$14</f>
        <v>4561.516452074392</v>
      </c>
      <c r="G280" s="76">
        <f t="shared" si="65"/>
        <v>4561.516452074392</v>
      </c>
      <c r="H280" s="76">
        <f t="shared" si="65"/>
        <v>4561.516452074392</v>
      </c>
      <c r="I280" s="76">
        <f t="shared" si="65"/>
        <v>4561.516452074392</v>
      </c>
      <c r="J280" s="76">
        <f t="shared" si="65"/>
        <v>4561.516452074392</v>
      </c>
      <c r="K280" s="76">
        <f t="shared" si="65"/>
        <v>4561.516452074392</v>
      </c>
      <c r="L280" s="76">
        <f t="shared" si="65"/>
        <v>4561.516452074392</v>
      </c>
      <c r="M280" s="76">
        <f t="shared" si="65"/>
        <v>4561.516452074392</v>
      </c>
      <c r="N280" s="76">
        <f t="shared" si="65"/>
        <v>4561.516452074392</v>
      </c>
      <c r="O280" s="76">
        <f t="shared" si="65"/>
        <v>4561.516452074392</v>
      </c>
      <c r="P280" s="76">
        <f t="shared" si="65"/>
        <v>4561.516452074392</v>
      </c>
      <c r="Q280" s="76">
        <f t="shared" si="65"/>
        <v>4561.516452074392</v>
      </c>
      <c r="R280" s="76">
        <f t="shared" si="65"/>
        <v>4561.516452074392</v>
      </c>
      <c r="S280" s="76">
        <f t="shared" si="65"/>
        <v>4561.516452074392</v>
      </c>
      <c r="T280" s="76">
        <f t="shared" si="65"/>
        <v>4561.516452074392</v>
      </c>
      <c r="U280" s="76">
        <f t="shared" si="65"/>
        <v>4561.516452074392</v>
      </c>
      <c r="V280" s="76">
        <f t="shared" si="65"/>
        <v>4561.516452074392</v>
      </c>
      <c r="W280" s="76">
        <f t="shared" si="65"/>
        <v>4561.516452074392</v>
      </c>
      <c r="X280" s="76">
        <f t="shared" si="65"/>
        <v>4561.516452074392</v>
      </c>
      <c r="Y280" s="76">
        <f t="shared" si="65"/>
        <v>4561.516452074392</v>
      </c>
      <c r="Z280" s="77">
        <f t="shared" si="65"/>
        <v>4561.516452074392</v>
      </c>
    </row>
    <row r="281" spans="1:26" x14ac:dyDescent="0.25">
      <c r="A281" s="27"/>
      <c r="B281" s="9" t="s">
        <v>61</v>
      </c>
      <c r="C281" s="2"/>
      <c r="D281" s="2"/>
      <c r="E281" s="2"/>
      <c r="F281" s="76">
        <f>($F$161*F206+$F$138)*$F$14</f>
        <v>3936.7559170243208</v>
      </c>
      <c r="G281" s="76">
        <f>$F$161*G206*$F$14</f>
        <v>3147.8729761945638</v>
      </c>
      <c r="H281" s="76">
        <f>$F$161*H206*$F$14</f>
        <v>3179.3517059565092</v>
      </c>
      <c r="I281" s="76">
        <f>($F$161*I206+$F$138)*$F$14</f>
        <v>4031.1952230160741</v>
      </c>
      <c r="J281" s="76">
        <f>$F$161*J206*$F$14</f>
        <v>3243.2566752462358</v>
      </c>
      <c r="K281" s="76">
        <f>$F$161*K206*$F$14</f>
        <v>3275.689241998698</v>
      </c>
      <c r="L281" s="76">
        <f>($F$161*L206+$F$138)*$F$14</f>
        <v>4128.496134418685</v>
      </c>
      <c r="M281" s="76">
        <f>$F$161*M206*$F$14</f>
        <v>3341.5305957628711</v>
      </c>
      <c r="N281" s="76">
        <f>$F$161*N206*$F$14</f>
        <v>3374.9459017205004</v>
      </c>
      <c r="O281" s="76">
        <f>($F$161*O206+$F$138)*$F$14</f>
        <v>4228.7453607377056</v>
      </c>
      <c r="P281" s="76">
        <f>$F$161*P206*$F$14</f>
        <v>3442.7823143450823</v>
      </c>
      <c r="Q281" s="76">
        <f>$F$161*Q206*$F$14</f>
        <v>3477.2101374885328</v>
      </c>
      <c r="R281" s="76">
        <f>($F$161*R206+$F$138)*$F$14</f>
        <v>4332.0322388634186</v>
      </c>
      <c r="S281" s="76">
        <f>$F$161*S206*$F$14</f>
        <v>3547.1020612520533</v>
      </c>
      <c r="T281" s="76">
        <f>$F$161*T206*$F$14</f>
        <v>3582.5730818645734</v>
      </c>
      <c r="U281" s="76">
        <f>($F$161*U206+$F$138)*$F$14</f>
        <v>4438.4488126832193</v>
      </c>
      <c r="V281" s="76">
        <f>$F$161*V206*$F$14</f>
        <v>3654.5828008100511</v>
      </c>
      <c r="W281" s="76">
        <f>$F$161*W206*$F$14</f>
        <v>3691.1286288181518</v>
      </c>
      <c r="X281" s="76">
        <f>($F$161*X206+$F$138)*$F$14</f>
        <v>4548.0899151063331</v>
      </c>
      <c r="Y281" s="76">
        <f>$F$161*Y206*$F$14</f>
        <v>3765.3203142573971</v>
      </c>
      <c r="Z281" s="77">
        <f>$F$161*Z206*$F$14</f>
        <v>3802.9735173999716</v>
      </c>
    </row>
    <row r="282" spans="1:26" x14ac:dyDescent="0.25">
      <c r="A282" s="27"/>
      <c r="B282" s="9" t="s">
        <v>62</v>
      </c>
      <c r="C282" s="2"/>
      <c r="D282" s="2"/>
      <c r="E282" s="2"/>
      <c r="F282" s="76">
        <f t="shared" ref="F282:Z282" si="66">$F$14*$F$17*$F$26*$F$20*$F$22*F200*F204*(1-$F$42)</f>
        <v>3385.2356999999997</v>
      </c>
      <c r="G282" s="76">
        <f t="shared" si="66"/>
        <v>3385.2356999999997</v>
      </c>
      <c r="H282" s="76">
        <f t="shared" si="66"/>
        <v>3385.2356999999997</v>
      </c>
      <c r="I282" s="76">
        <f t="shared" si="66"/>
        <v>3385.2356999999997</v>
      </c>
      <c r="J282" s="76">
        <f t="shared" si="66"/>
        <v>3385.2356999999997</v>
      </c>
      <c r="K282" s="76">
        <f t="shared" si="66"/>
        <v>3385.2356999999997</v>
      </c>
      <c r="L282" s="76">
        <f t="shared" si="66"/>
        <v>3385.2356999999997</v>
      </c>
      <c r="M282" s="76">
        <f t="shared" si="66"/>
        <v>3385.2356999999997</v>
      </c>
      <c r="N282" s="76">
        <f t="shared" si="66"/>
        <v>3385.2356999999997</v>
      </c>
      <c r="O282" s="76">
        <f t="shared" si="66"/>
        <v>3385.2356999999997</v>
      </c>
      <c r="P282" s="76">
        <f t="shared" si="66"/>
        <v>3385.2356999999997</v>
      </c>
      <c r="Q282" s="76">
        <f t="shared" si="66"/>
        <v>3385.2356999999997</v>
      </c>
      <c r="R282" s="76">
        <f t="shared" si="66"/>
        <v>3385.2356999999997</v>
      </c>
      <c r="S282" s="76">
        <f t="shared" si="66"/>
        <v>3385.2356999999997</v>
      </c>
      <c r="T282" s="76">
        <f t="shared" si="66"/>
        <v>3385.2356999999997</v>
      </c>
      <c r="U282" s="76">
        <f t="shared" si="66"/>
        <v>3385.2356999999997</v>
      </c>
      <c r="V282" s="76">
        <f t="shared" si="66"/>
        <v>3385.2356999999997</v>
      </c>
      <c r="W282" s="76">
        <f t="shared" si="66"/>
        <v>3385.2356999999997</v>
      </c>
      <c r="X282" s="76">
        <f t="shared" si="66"/>
        <v>3385.2356999999997</v>
      </c>
      <c r="Y282" s="76">
        <f t="shared" si="66"/>
        <v>3385.2356999999997</v>
      </c>
      <c r="Z282" s="77">
        <f t="shared" si="66"/>
        <v>3385.2356999999997</v>
      </c>
    </row>
    <row r="283" spans="1:26" x14ac:dyDescent="0.25">
      <c r="A283" s="27"/>
      <c r="B283" s="9" t="s">
        <v>63</v>
      </c>
      <c r="C283" s="2"/>
      <c r="D283" s="2"/>
      <c r="E283" s="2"/>
      <c r="F283" s="76">
        <f t="shared" ref="F283:Z283" si="67">$F$14*$F$17*$F$27*$F$20*F200*F204*(1-$F$42)</f>
        <v>7180.802999999999</v>
      </c>
      <c r="G283" s="76">
        <f t="shared" si="67"/>
        <v>7180.802999999999</v>
      </c>
      <c r="H283" s="76">
        <f t="shared" si="67"/>
        <v>7180.802999999999</v>
      </c>
      <c r="I283" s="76">
        <f t="shared" si="67"/>
        <v>7180.802999999999</v>
      </c>
      <c r="J283" s="76">
        <f t="shared" si="67"/>
        <v>7180.802999999999</v>
      </c>
      <c r="K283" s="76">
        <f t="shared" si="67"/>
        <v>7180.802999999999</v>
      </c>
      <c r="L283" s="76">
        <f t="shared" si="67"/>
        <v>7180.802999999999</v>
      </c>
      <c r="M283" s="76">
        <f t="shared" si="67"/>
        <v>7180.802999999999</v>
      </c>
      <c r="N283" s="76">
        <f t="shared" si="67"/>
        <v>7180.802999999999</v>
      </c>
      <c r="O283" s="76">
        <f t="shared" si="67"/>
        <v>7180.802999999999</v>
      </c>
      <c r="P283" s="76">
        <f t="shared" si="67"/>
        <v>7180.802999999999</v>
      </c>
      <c r="Q283" s="76">
        <f t="shared" si="67"/>
        <v>7180.802999999999</v>
      </c>
      <c r="R283" s="76">
        <f t="shared" si="67"/>
        <v>7180.802999999999</v>
      </c>
      <c r="S283" s="76">
        <f t="shared" si="67"/>
        <v>7180.802999999999</v>
      </c>
      <c r="T283" s="76">
        <f t="shared" si="67"/>
        <v>7180.802999999999</v>
      </c>
      <c r="U283" s="76">
        <f t="shared" si="67"/>
        <v>7180.802999999999</v>
      </c>
      <c r="V283" s="76">
        <f t="shared" si="67"/>
        <v>7180.802999999999</v>
      </c>
      <c r="W283" s="76">
        <f t="shared" si="67"/>
        <v>7180.802999999999</v>
      </c>
      <c r="X283" s="76">
        <f t="shared" si="67"/>
        <v>7180.802999999999</v>
      </c>
      <c r="Y283" s="76">
        <f t="shared" si="67"/>
        <v>7180.802999999999</v>
      </c>
      <c r="Z283" s="77">
        <f t="shared" si="67"/>
        <v>7180.802999999999</v>
      </c>
    </row>
    <row r="284" spans="1:26" x14ac:dyDescent="0.25">
      <c r="A284" s="27"/>
      <c r="B284" s="56" t="s">
        <v>57</v>
      </c>
      <c r="C284" s="39"/>
      <c r="D284" s="39"/>
      <c r="E284" s="39"/>
      <c r="F284" s="109">
        <f>SUM(F282:F283)-SUM(F280:F281)</f>
        <v>2067.766330901286</v>
      </c>
      <c r="G284" s="109">
        <f t="shared" ref="G284:Z284" si="68">SUM(G282:G283)-SUM(G280:G281)</f>
        <v>2856.649271731043</v>
      </c>
      <c r="H284" s="109">
        <f t="shared" si="68"/>
        <v>2825.1705419690979</v>
      </c>
      <c r="I284" s="109">
        <f t="shared" si="68"/>
        <v>1973.3270249095331</v>
      </c>
      <c r="J284" s="109">
        <f t="shared" si="68"/>
        <v>2761.265572679371</v>
      </c>
      <c r="K284" s="109">
        <f t="shared" si="68"/>
        <v>2728.8330059269092</v>
      </c>
      <c r="L284" s="109">
        <f t="shared" si="68"/>
        <v>1876.0261135069213</v>
      </c>
      <c r="M284" s="109">
        <f t="shared" si="68"/>
        <v>2662.9916521627365</v>
      </c>
      <c r="N284" s="109">
        <f t="shared" si="68"/>
        <v>2629.5763462051073</v>
      </c>
      <c r="O284" s="109">
        <f t="shared" si="68"/>
        <v>1775.7768871879016</v>
      </c>
      <c r="P284" s="109">
        <f t="shared" si="68"/>
        <v>2561.7399335805248</v>
      </c>
      <c r="Q284" s="109">
        <f t="shared" si="68"/>
        <v>2527.3121104370748</v>
      </c>
      <c r="R284" s="109">
        <f t="shared" si="68"/>
        <v>1672.4900090621886</v>
      </c>
      <c r="S284" s="109">
        <f t="shared" si="68"/>
        <v>2457.4201866735539</v>
      </c>
      <c r="T284" s="109">
        <f t="shared" si="68"/>
        <v>2421.9491660610338</v>
      </c>
      <c r="U284" s="109">
        <f t="shared" si="68"/>
        <v>1566.0734352423879</v>
      </c>
      <c r="V284" s="109">
        <f t="shared" si="68"/>
        <v>2349.9394471155556</v>
      </c>
      <c r="W284" s="109">
        <f t="shared" si="68"/>
        <v>2313.3936191074554</v>
      </c>
      <c r="X284" s="109">
        <f t="shared" si="68"/>
        <v>1456.432332819275</v>
      </c>
      <c r="Y284" s="109">
        <f t="shared" si="68"/>
        <v>2239.2019336682097</v>
      </c>
      <c r="Z284" s="110">
        <f t="shared" si="68"/>
        <v>2201.5487305256356</v>
      </c>
    </row>
    <row r="285" spans="1:26" x14ac:dyDescent="0.25">
      <c r="A285" s="27"/>
      <c r="B285" s="9"/>
      <c r="C285" s="2"/>
      <c r="D285" s="2"/>
      <c r="E285" s="2"/>
      <c r="F285" s="76"/>
      <c r="G285" s="76"/>
      <c r="H285" s="76"/>
      <c r="I285" s="76"/>
      <c r="J285" s="76"/>
      <c r="K285" s="76"/>
      <c r="L285" s="76"/>
      <c r="M285" s="76"/>
      <c r="N285" s="76"/>
      <c r="O285" s="76"/>
      <c r="P285" s="76"/>
      <c r="Q285" s="76"/>
      <c r="R285" s="76"/>
      <c r="S285" s="76"/>
      <c r="T285" s="76"/>
      <c r="U285" s="76"/>
      <c r="V285" s="76"/>
      <c r="W285" s="76"/>
      <c r="X285" s="76"/>
      <c r="Y285" s="76"/>
      <c r="Z285" s="77"/>
    </row>
    <row r="286" spans="1:26" ht="15.75" x14ac:dyDescent="0.25">
      <c r="A286" s="38"/>
      <c r="B286" s="108" t="s">
        <v>65</v>
      </c>
      <c r="C286" s="2"/>
      <c r="D286" s="2"/>
      <c r="E286" s="2"/>
      <c r="F286" s="76"/>
      <c r="G286" s="76"/>
      <c r="H286" s="76"/>
      <c r="I286" s="76"/>
      <c r="J286" s="76"/>
      <c r="K286" s="76"/>
      <c r="L286" s="76"/>
      <c r="M286" s="76"/>
      <c r="N286" s="76"/>
      <c r="O286" s="76"/>
      <c r="P286" s="76"/>
      <c r="Q286" s="78"/>
      <c r="R286" s="78"/>
      <c r="S286" s="78"/>
      <c r="T286" s="78"/>
      <c r="U286" s="78"/>
      <c r="V286" s="78"/>
      <c r="W286" s="78"/>
      <c r="X286" s="78"/>
      <c r="Y286" s="78"/>
      <c r="Z286" s="79"/>
    </row>
    <row r="287" spans="1:26" x14ac:dyDescent="0.25">
      <c r="A287" s="38"/>
      <c r="B287" s="106" t="s">
        <v>60</v>
      </c>
      <c r="C287" s="2"/>
      <c r="D287" s="2"/>
      <c r="E287" s="2"/>
      <c r="F287" s="76">
        <f>$F$160*F205*$F$14</f>
        <v>4561.516452074392</v>
      </c>
      <c r="G287" s="76">
        <f t="shared" ref="G287:Z287" si="69">$H$160*G205*$F$14</f>
        <v>6797.2103004291848</v>
      </c>
      <c r="H287" s="76">
        <f t="shared" si="69"/>
        <v>6797.2103004291848</v>
      </c>
      <c r="I287" s="76">
        <f t="shared" si="69"/>
        <v>6797.2103004291848</v>
      </c>
      <c r="J287" s="76">
        <f t="shared" si="69"/>
        <v>6797.2103004291848</v>
      </c>
      <c r="K287" s="76">
        <f t="shared" si="69"/>
        <v>6797.2103004291848</v>
      </c>
      <c r="L287" s="76">
        <f t="shared" si="69"/>
        <v>6797.2103004291848</v>
      </c>
      <c r="M287" s="76">
        <f t="shared" si="69"/>
        <v>6797.2103004291848</v>
      </c>
      <c r="N287" s="76">
        <f t="shared" si="69"/>
        <v>6797.2103004291848</v>
      </c>
      <c r="O287" s="76">
        <f t="shared" si="69"/>
        <v>6797.2103004291848</v>
      </c>
      <c r="P287" s="76">
        <f t="shared" si="69"/>
        <v>6797.2103004291848</v>
      </c>
      <c r="Q287" s="76">
        <f t="shared" si="69"/>
        <v>6797.2103004291848</v>
      </c>
      <c r="R287" s="76">
        <f t="shared" si="69"/>
        <v>6797.2103004291848</v>
      </c>
      <c r="S287" s="76">
        <f t="shared" si="69"/>
        <v>6797.2103004291848</v>
      </c>
      <c r="T287" s="76">
        <f t="shared" si="69"/>
        <v>6797.2103004291848</v>
      </c>
      <c r="U287" s="76">
        <f t="shared" si="69"/>
        <v>6797.2103004291848</v>
      </c>
      <c r="V287" s="76">
        <f t="shared" si="69"/>
        <v>6797.2103004291848</v>
      </c>
      <c r="W287" s="76">
        <f t="shared" si="69"/>
        <v>6797.2103004291848</v>
      </c>
      <c r="X287" s="76">
        <f t="shared" si="69"/>
        <v>6797.2103004291848</v>
      </c>
      <c r="Y287" s="76">
        <f t="shared" si="69"/>
        <v>6797.2103004291848</v>
      </c>
      <c r="Z287" s="77">
        <f t="shared" si="69"/>
        <v>6797.2103004291848</v>
      </c>
    </row>
    <row r="288" spans="1:26" x14ac:dyDescent="0.25">
      <c r="A288" s="38"/>
      <c r="B288" s="9" t="s">
        <v>61</v>
      </c>
      <c r="C288" s="2"/>
      <c r="D288" s="2"/>
      <c r="E288" s="2"/>
      <c r="F288" s="76">
        <f>($F$161*F206+$F$138)*$F$14</f>
        <v>3936.7559170243208</v>
      </c>
      <c r="G288" s="76">
        <f>$H$161*G206*$F$14</f>
        <v>4877.443791645208</v>
      </c>
      <c r="H288" s="76">
        <f>$H$161*H206*$F$14</f>
        <v>4926.2182295616594</v>
      </c>
      <c r="I288" s="76">
        <f>($H$161*I206+$H$138)*$H$14</f>
        <v>5795.5304118572758</v>
      </c>
      <c r="J288" s="76">
        <f>$H$161*J206*$F$14</f>
        <v>5025.2352159758493</v>
      </c>
      <c r="K288" s="76">
        <f>$H$161*K206*$F$14</f>
        <v>5075.487568135607</v>
      </c>
      <c r="L288" s="76">
        <f>($H$161*L206+$H$138)*$H$14</f>
        <v>5946.292443816963</v>
      </c>
      <c r="M288" s="76">
        <f>$H$161*M206*$F$14</f>
        <v>5177.5048682551324</v>
      </c>
      <c r="N288" s="76">
        <f>$H$161*N206*$F$14</f>
        <v>5229.279916937684</v>
      </c>
      <c r="O288" s="76">
        <f>($H$161*O206+$F$138)*$F$14</f>
        <v>6101.6227161070619</v>
      </c>
      <c r="P288" s="76">
        <f>$H$161*P206*$F$14</f>
        <v>5334.3884432681325</v>
      </c>
      <c r="Q288" s="76">
        <f>$H$161*Q206*$F$14</f>
        <v>5387.7323277008136</v>
      </c>
      <c r="R288" s="76">
        <f>($H$161*R206+$F$138)*$F$14</f>
        <v>6261.659650977821</v>
      </c>
      <c r="S288" s="76">
        <f>$H$161*S206*$F$14</f>
        <v>5496.0257474876007</v>
      </c>
      <c r="T288" s="76">
        <f>$H$161*T206*$F$14</f>
        <v>5550.9860049624758</v>
      </c>
      <c r="U288" s="76">
        <f>($H$161*U206+$F$138)*$F$14</f>
        <v>6426.5458650121018</v>
      </c>
      <c r="V288" s="76">
        <f>$H$161*V206*$F$14</f>
        <v>5662.560823662222</v>
      </c>
      <c r="W288" s="76">
        <f>$H$161*W206*$F$14</f>
        <v>5719.1864318988446</v>
      </c>
      <c r="X288" s="76">
        <f>($H$161*X206+$F$138)*$F$14</f>
        <v>6596.428296217834</v>
      </c>
      <c r="Y288" s="76">
        <f>$H$161*Y206*$F$14</f>
        <v>5834.142079180011</v>
      </c>
      <c r="Z288" s="77">
        <f>$H$161*Z206*$F$14</f>
        <v>5892.4834999718114</v>
      </c>
    </row>
    <row r="289" spans="1:26" x14ac:dyDescent="0.25">
      <c r="A289" s="27"/>
      <c r="B289" s="9" t="s">
        <v>62</v>
      </c>
      <c r="C289" s="2"/>
      <c r="D289" s="2"/>
      <c r="E289" s="2"/>
      <c r="F289" s="76">
        <f>$F$14*$F$17*$F$26*$F$20*$F$22*F202*F204*(1-$F$42)</f>
        <v>3385.2356999999997</v>
      </c>
      <c r="G289" s="76">
        <f>$H$14*$F$17*$F$26*$F$20*$F$22*G202*G204*(1-$H$42)</f>
        <v>3723.75927</v>
      </c>
      <c r="H289" s="76">
        <f t="shared" ref="H289:Z289" si="70">$H$14*$F$17*$H$26*$H$20*$H$22*H202*H204*(1-$H$42)</f>
        <v>1643.6949251799999</v>
      </c>
      <c r="I289" s="76">
        <f t="shared" si="70"/>
        <v>1808.0644176980004</v>
      </c>
      <c r="J289" s="76">
        <f t="shared" si="70"/>
        <v>1988.8708594678003</v>
      </c>
      <c r="K289" s="76">
        <f t="shared" si="70"/>
        <v>1988.8708594678003</v>
      </c>
      <c r="L289" s="76">
        <f t="shared" si="70"/>
        <v>1988.8708594678003</v>
      </c>
      <c r="M289" s="76">
        <f t="shared" si="70"/>
        <v>1988.8708594678003</v>
      </c>
      <c r="N289" s="76">
        <f t="shared" si="70"/>
        <v>1988.8708594678003</v>
      </c>
      <c r="O289" s="76">
        <f t="shared" si="70"/>
        <v>1988.8708594678003</v>
      </c>
      <c r="P289" s="76">
        <f t="shared" si="70"/>
        <v>1988.8708594678003</v>
      </c>
      <c r="Q289" s="76">
        <f t="shared" si="70"/>
        <v>1988.8708594678003</v>
      </c>
      <c r="R289" s="76">
        <f t="shared" si="70"/>
        <v>1988.8708594678003</v>
      </c>
      <c r="S289" s="76">
        <f t="shared" si="70"/>
        <v>1988.8708594678003</v>
      </c>
      <c r="T289" s="76">
        <f t="shared" si="70"/>
        <v>1988.8708594678003</v>
      </c>
      <c r="U289" s="76">
        <f t="shared" si="70"/>
        <v>1988.8708594678003</v>
      </c>
      <c r="V289" s="76">
        <f t="shared" si="70"/>
        <v>1988.8708594678003</v>
      </c>
      <c r="W289" s="76">
        <f t="shared" si="70"/>
        <v>1988.8708594678003</v>
      </c>
      <c r="X289" s="76">
        <f t="shared" si="70"/>
        <v>1988.8708594678003</v>
      </c>
      <c r="Y289" s="76">
        <f t="shared" si="70"/>
        <v>1988.8708594678003</v>
      </c>
      <c r="Z289" s="77">
        <f t="shared" si="70"/>
        <v>1988.8708594678003</v>
      </c>
    </row>
    <row r="290" spans="1:26" x14ac:dyDescent="0.25">
      <c r="A290" s="27"/>
      <c r="B290" s="9" t="s">
        <v>63</v>
      </c>
      <c r="C290" s="2"/>
      <c r="D290" s="2"/>
      <c r="E290" s="2"/>
      <c r="F290" s="76">
        <f>$F$14*$F$17*$F$27*$F$20*F202*F204*(1-$F$42)</f>
        <v>7180.802999999999</v>
      </c>
      <c r="G290" s="76">
        <f>$H$14*$F$17*$F$27*$F$20*G202*G204*(1-$H$42)</f>
        <v>7898.8832999999995</v>
      </c>
      <c r="H290" s="76">
        <f t="shared" ref="H290:Z290" si="71">$H$14*$F$17*$H$27*$H$20*H202*H204*(1-$H$42)</f>
        <v>14646.786462000002</v>
      </c>
      <c r="I290" s="76">
        <f t="shared" si="71"/>
        <v>16111.465108200004</v>
      </c>
      <c r="J290" s="76">
        <f t="shared" si="71"/>
        <v>17722.611619020008</v>
      </c>
      <c r="K290" s="76">
        <f t="shared" si="71"/>
        <v>17722.611619020008</v>
      </c>
      <c r="L290" s="76">
        <f t="shared" si="71"/>
        <v>17722.611619020008</v>
      </c>
      <c r="M290" s="76">
        <f t="shared" si="71"/>
        <v>17722.611619020008</v>
      </c>
      <c r="N290" s="76">
        <f t="shared" si="71"/>
        <v>17722.611619020008</v>
      </c>
      <c r="O290" s="76">
        <f t="shared" si="71"/>
        <v>17722.611619020008</v>
      </c>
      <c r="P290" s="76">
        <f t="shared" si="71"/>
        <v>17722.611619020008</v>
      </c>
      <c r="Q290" s="76">
        <f t="shared" si="71"/>
        <v>17722.611619020008</v>
      </c>
      <c r="R290" s="76">
        <f t="shared" si="71"/>
        <v>17722.611619020008</v>
      </c>
      <c r="S290" s="76">
        <f t="shared" si="71"/>
        <v>17722.611619020008</v>
      </c>
      <c r="T290" s="76">
        <f t="shared" si="71"/>
        <v>17722.611619020008</v>
      </c>
      <c r="U290" s="76">
        <f t="shared" si="71"/>
        <v>17722.611619020008</v>
      </c>
      <c r="V290" s="76">
        <f t="shared" si="71"/>
        <v>17722.611619020008</v>
      </c>
      <c r="W290" s="76">
        <f t="shared" si="71"/>
        <v>17722.611619020008</v>
      </c>
      <c r="X290" s="76">
        <f t="shared" si="71"/>
        <v>17722.611619020008</v>
      </c>
      <c r="Y290" s="76">
        <f t="shared" si="71"/>
        <v>17722.611619020008</v>
      </c>
      <c r="Z290" s="77">
        <f t="shared" si="71"/>
        <v>17722.611619020008</v>
      </c>
    </row>
    <row r="291" spans="1:26" x14ac:dyDescent="0.25">
      <c r="A291" s="27"/>
      <c r="B291" s="56" t="s">
        <v>57</v>
      </c>
      <c r="C291" s="39"/>
      <c r="D291" s="39"/>
      <c r="E291" s="39"/>
      <c r="F291" s="109">
        <f>SUM(F289:F290)-SUM(F287:F288)</f>
        <v>2067.766330901286</v>
      </c>
      <c r="G291" s="109">
        <f t="shared" ref="G291:Z291" si="72">SUM(G289:G290)-SUM(G287:G288)</f>
        <v>-52.011522074393724</v>
      </c>
      <c r="H291" s="109">
        <f t="shared" si="72"/>
        <v>4567.0528571891573</v>
      </c>
      <c r="I291" s="109">
        <f t="shared" si="72"/>
        <v>5326.7888136115434</v>
      </c>
      <c r="J291" s="109">
        <f t="shared" si="72"/>
        <v>7889.0369620827732</v>
      </c>
      <c r="K291" s="109">
        <f t="shared" si="72"/>
        <v>7838.7846099230155</v>
      </c>
      <c r="L291" s="109">
        <f t="shared" si="72"/>
        <v>6967.9797342416605</v>
      </c>
      <c r="M291" s="109">
        <f t="shared" si="72"/>
        <v>7736.7673098034902</v>
      </c>
      <c r="N291" s="109">
        <f t="shared" si="72"/>
        <v>7684.9922611209386</v>
      </c>
      <c r="O291" s="109">
        <f t="shared" si="72"/>
        <v>6812.6494619515615</v>
      </c>
      <c r="P291" s="109">
        <f t="shared" si="72"/>
        <v>7579.8837347904901</v>
      </c>
      <c r="Q291" s="109">
        <f t="shared" si="72"/>
        <v>7526.539850357809</v>
      </c>
      <c r="R291" s="109">
        <f t="shared" si="72"/>
        <v>6652.6125270808006</v>
      </c>
      <c r="S291" s="109">
        <f t="shared" si="72"/>
        <v>7418.2464305710218</v>
      </c>
      <c r="T291" s="109">
        <f t="shared" si="72"/>
        <v>7363.2861730961467</v>
      </c>
      <c r="U291" s="109">
        <f t="shared" si="72"/>
        <v>6487.7263130465217</v>
      </c>
      <c r="V291" s="109">
        <f t="shared" si="72"/>
        <v>7251.7113543964006</v>
      </c>
      <c r="W291" s="109">
        <f t="shared" si="72"/>
        <v>7195.085746159777</v>
      </c>
      <c r="X291" s="109">
        <f t="shared" si="72"/>
        <v>6317.8438818407885</v>
      </c>
      <c r="Y291" s="109">
        <f t="shared" si="72"/>
        <v>7080.1300988786115</v>
      </c>
      <c r="Z291" s="110">
        <f t="shared" si="72"/>
        <v>7021.7886780868103</v>
      </c>
    </row>
    <row r="292" spans="1:26" x14ac:dyDescent="0.25">
      <c r="A292" s="27"/>
      <c r="B292" s="9"/>
      <c r="C292" s="2"/>
      <c r="D292" s="2"/>
      <c r="E292" s="2"/>
      <c r="F292" s="76"/>
      <c r="G292" s="76"/>
      <c r="H292" s="76"/>
      <c r="I292" s="76"/>
      <c r="J292" s="76"/>
      <c r="K292" s="76"/>
      <c r="L292" s="76"/>
      <c r="M292" s="76"/>
      <c r="N292" s="76"/>
      <c r="O292" s="76"/>
      <c r="P292" s="76"/>
      <c r="Q292" s="78"/>
      <c r="R292" s="78"/>
      <c r="S292" s="78"/>
      <c r="T292" s="78"/>
      <c r="U292" s="78"/>
      <c r="V292" s="78"/>
      <c r="W292" s="78"/>
      <c r="X292" s="78"/>
      <c r="Y292" s="78"/>
      <c r="Z292" s="75"/>
    </row>
    <row r="293" spans="1:26" x14ac:dyDescent="0.25">
      <c r="A293" s="27"/>
      <c r="B293" s="9" t="s">
        <v>201</v>
      </c>
      <c r="C293" s="2"/>
      <c r="D293" s="2"/>
      <c r="E293" s="2"/>
      <c r="F293" s="76"/>
      <c r="G293" s="76"/>
      <c r="H293" s="76"/>
      <c r="I293" s="76"/>
      <c r="J293" s="76"/>
      <c r="K293" s="76"/>
      <c r="L293" s="76"/>
      <c r="M293" s="76"/>
      <c r="N293" s="76"/>
      <c r="O293" s="76"/>
      <c r="P293" s="76"/>
      <c r="Q293" s="78"/>
      <c r="R293" s="78"/>
      <c r="S293" s="78"/>
      <c r="T293" s="78"/>
      <c r="U293" s="78"/>
      <c r="V293" s="78"/>
      <c r="W293" s="78"/>
      <c r="X293" s="78"/>
      <c r="Y293" s="78"/>
      <c r="Z293" s="79"/>
    </row>
    <row r="294" spans="1:26" x14ac:dyDescent="0.25">
      <c r="A294" s="27"/>
      <c r="B294" s="106" t="s">
        <v>60</v>
      </c>
      <c r="C294" s="2"/>
      <c r="D294" s="2"/>
      <c r="E294" s="2"/>
      <c r="F294" s="76">
        <f t="shared" ref="F294:Z294" si="73">F287-F280</f>
        <v>0</v>
      </c>
      <c r="G294" s="76">
        <f t="shared" si="73"/>
        <v>2235.6938483547929</v>
      </c>
      <c r="H294" s="76">
        <f t="shared" si="73"/>
        <v>2235.6938483547929</v>
      </c>
      <c r="I294" s="76">
        <f t="shared" si="73"/>
        <v>2235.6938483547929</v>
      </c>
      <c r="J294" s="76">
        <f t="shared" si="73"/>
        <v>2235.6938483547929</v>
      </c>
      <c r="K294" s="76">
        <f t="shared" si="73"/>
        <v>2235.6938483547929</v>
      </c>
      <c r="L294" s="76">
        <f t="shared" si="73"/>
        <v>2235.6938483547929</v>
      </c>
      <c r="M294" s="76">
        <f t="shared" si="73"/>
        <v>2235.6938483547929</v>
      </c>
      <c r="N294" s="76">
        <f t="shared" si="73"/>
        <v>2235.6938483547929</v>
      </c>
      <c r="O294" s="76">
        <f t="shared" si="73"/>
        <v>2235.6938483547929</v>
      </c>
      <c r="P294" s="76">
        <f t="shared" si="73"/>
        <v>2235.6938483547929</v>
      </c>
      <c r="Q294" s="76">
        <f t="shared" si="73"/>
        <v>2235.6938483547929</v>
      </c>
      <c r="R294" s="76">
        <f t="shared" si="73"/>
        <v>2235.6938483547929</v>
      </c>
      <c r="S294" s="76">
        <f t="shared" si="73"/>
        <v>2235.6938483547929</v>
      </c>
      <c r="T294" s="76">
        <f t="shared" si="73"/>
        <v>2235.6938483547929</v>
      </c>
      <c r="U294" s="76">
        <f t="shared" si="73"/>
        <v>2235.6938483547929</v>
      </c>
      <c r="V294" s="76">
        <f t="shared" si="73"/>
        <v>2235.6938483547929</v>
      </c>
      <c r="W294" s="76">
        <f t="shared" si="73"/>
        <v>2235.6938483547929</v>
      </c>
      <c r="X294" s="76">
        <f t="shared" si="73"/>
        <v>2235.6938483547929</v>
      </c>
      <c r="Y294" s="76">
        <f t="shared" si="73"/>
        <v>2235.6938483547929</v>
      </c>
      <c r="Z294" s="77">
        <f t="shared" si="73"/>
        <v>2235.6938483547929</v>
      </c>
    </row>
    <row r="295" spans="1:26" x14ac:dyDescent="0.25">
      <c r="A295" s="27"/>
      <c r="B295" s="9" t="s">
        <v>61</v>
      </c>
      <c r="C295" s="2"/>
      <c r="D295" s="2"/>
      <c r="E295" s="2"/>
      <c r="F295" s="76">
        <f t="shared" ref="F295:Z295" si="74">F288-F281</f>
        <v>0</v>
      </c>
      <c r="G295" s="76">
        <f t="shared" si="74"/>
        <v>1729.5708154506442</v>
      </c>
      <c r="H295" s="76">
        <f t="shared" si="74"/>
        <v>1746.8665236051502</v>
      </c>
      <c r="I295" s="76">
        <f t="shared" si="74"/>
        <v>1764.3351888412017</v>
      </c>
      <c r="J295" s="76">
        <f t="shared" si="74"/>
        <v>1781.9785407296135</v>
      </c>
      <c r="K295" s="76">
        <f t="shared" si="74"/>
        <v>1799.7983261369091</v>
      </c>
      <c r="L295" s="76">
        <f t="shared" si="74"/>
        <v>1817.796309398278</v>
      </c>
      <c r="M295" s="76">
        <f t="shared" si="74"/>
        <v>1835.9742724922612</v>
      </c>
      <c r="N295" s="76">
        <f t="shared" si="74"/>
        <v>1854.3340152171836</v>
      </c>
      <c r="O295" s="76">
        <f t="shared" si="74"/>
        <v>1872.8773553693563</v>
      </c>
      <c r="P295" s="76">
        <f t="shared" si="74"/>
        <v>1891.6061289230502</v>
      </c>
      <c r="Q295" s="76">
        <f t="shared" si="74"/>
        <v>1910.5221902122807</v>
      </c>
      <c r="R295" s="76">
        <f t="shared" si="74"/>
        <v>1929.6274121144024</v>
      </c>
      <c r="S295" s="76">
        <f t="shared" si="74"/>
        <v>1948.9236862355474</v>
      </c>
      <c r="T295" s="76">
        <f t="shared" si="74"/>
        <v>1968.4129230979024</v>
      </c>
      <c r="U295" s="76">
        <f t="shared" si="74"/>
        <v>1988.0970523288825</v>
      </c>
      <c r="V295" s="76">
        <f t="shared" si="74"/>
        <v>2007.9780228521709</v>
      </c>
      <c r="W295" s="76">
        <f t="shared" si="74"/>
        <v>2028.0578030806928</v>
      </c>
      <c r="X295" s="76">
        <f t="shared" si="74"/>
        <v>2048.3383811115009</v>
      </c>
      <c r="Y295" s="76">
        <f t="shared" si="74"/>
        <v>2068.821764922614</v>
      </c>
      <c r="Z295" s="77">
        <f t="shared" si="74"/>
        <v>2089.5099825718398</v>
      </c>
    </row>
    <row r="296" spans="1:26" x14ac:dyDescent="0.25">
      <c r="A296" s="27"/>
      <c r="B296" s="9" t="s">
        <v>62</v>
      </c>
      <c r="C296" s="2"/>
      <c r="D296" s="2"/>
      <c r="E296" s="2"/>
      <c r="F296" s="76">
        <f t="shared" ref="F296:Z296" si="75">F289-F282</f>
        <v>0</v>
      </c>
      <c r="G296" s="76">
        <f t="shared" si="75"/>
        <v>338.52357000000029</v>
      </c>
      <c r="H296" s="76">
        <f t="shared" si="75"/>
        <v>-1741.5407748199998</v>
      </c>
      <c r="I296" s="76">
        <f t="shared" si="75"/>
        <v>-1577.1712823019993</v>
      </c>
      <c r="J296" s="76">
        <f t="shared" si="75"/>
        <v>-1396.3648405321994</v>
      </c>
      <c r="K296" s="76">
        <f t="shared" si="75"/>
        <v>-1396.3648405321994</v>
      </c>
      <c r="L296" s="76">
        <f t="shared" si="75"/>
        <v>-1396.3648405321994</v>
      </c>
      <c r="M296" s="76">
        <f t="shared" si="75"/>
        <v>-1396.3648405321994</v>
      </c>
      <c r="N296" s="76">
        <f t="shared" si="75"/>
        <v>-1396.3648405321994</v>
      </c>
      <c r="O296" s="76">
        <f t="shared" si="75"/>
        <v>-1396.3648405321994</v>
      </c>
      <c r="P296" s="76">
        <f t="shared" si="75"/>
        <v>-1396.3648405321994</v>
      </c>
      <c r="Q296" s="76">
        <f t="shared" si="75"/>
        <v>-1396.3648405321994</v>
      </c>
      <c r="R296" s="76">
        <f t="shared" si="75"/>
        <v>-1396.3648405321994</v>
      </c>
      <c r="S296" s="76">
        <f t="shared" si="75"/>
        <v>-1396.3648405321994</v>
      </c>
      <c r="T296" s="76">
        <f t="shared" si="75"/>
        <v>-1396.3648405321994</v>
      </c>
      <c r="U296" s="76">
        <f t="shared" si="75"/>
        <v>-1396.3648405321994</v>
      </c>
      <c r="V296" s="76">
        <f t="shared" si="75"/>
        <v>-1396.3648405321994</v>
      </c>
      <c r="W296" s="76">
        <f t="shared" si="75"/>
        <v>-1396.3648405321994</v>
      </c>
      <c r="X296" s="76">
        <f t="shared" si="75"/>
        <v>-1396.3648405321994</v>
      </c>
      <c r="Y296" s="76">
        <f t="shared" si="75"/>
        <v>-1396.3648405321994</v>
      </c>
      <c r="Z296" s="77">
        <f t="shared" si="75"/>
        <v>-1396.3648405321994</v>
      </c>
    </row>
    <row r="297" spans="1:26" x14ac:dyDescent="0.25">
      <c r="A297" s="27"/>
      <c r="B297" s="9" t="s">
        <v>63</v>
      </c>
      <c r="C297" s="2"/>
      <c r="D297" s="2"/>
      <c r="E297" s="2"/>
      <c r="F297" s="76">
        <f t="shared" ref="F297:Z297" si="76">F290-F283</f>
        <v>0</v>
      </c>
      <c r="G297" s="76">
        <f t="shared" si="76"/>
        <v>718.08030000000053</v>
      </c>
      <c r="H297" s="76">
        <f t="shared" si="76"/>
        <v>7465.9834620000029</v>
      </c>
      <c r="I297" s="76">
        <f t="shared" si="76"/>
        <v>8930.6621082000056</v>
      </c>
      <c r="J297" s="76">
        <f t="shared" si="76"/>
        <v>10541.808619020008</v>
      </c>
      <c r="K297" s="76">
        <f t="shared" si="76"/>
        <v>10541.808619020008</v>
      </c>
      <c r="L297" s="76">
        <f t="shared" si="76"/>
        <v>10541.808619020008</v>
      </c>
      <c r="M297" s="76">
        <f t="shared" si="76"/>
        <v>10541.808619020008</v>
      </c>
      <c r="N297" s="76">
        <f t="shared" si="76"/>
        <v>10541.808619020008</v>
      </c>
      <c r="O297" s="76">
        <f t="shared" si="76"/>
        <v>10541.808619020008</v>
      </c>
      <c r="P297" s="76">
        <f t="shared" si="76"/>
        <v>10541.808619020008</v>
      </c>
      <c r="Q297" s="76">
        <f t="shared" si="76"/>
        <v>10541.808619020008</v>
      </c>
      <c r="R297" s="76">
        <f t="shared" si="76"/>
        <v>10541.808619020008</v>
      </c>
      <c r="S297" s="76">
        <f t="shared" si="76"/>
        <v>10541.808619020008</v>
      </c>
      <c r="T297" s="76">
        <f t="shared" si="76"/>
        <v>10541.808619020008</v>
      </c>
      <c r="U297" s="76">
        <f t="shared" si="76"/>
        <v>10541.808619020008</v>
      </c>
      <c r="V297" s="76">
        <f t="shared" si="76"/>
        <v>10541.808619020008</v>
      </c>
      <c r="W297" s="76">
        <f t="shared" si="76"/>
        <v>10541.808619020008</v>
      </c>
      <c r="X297" s="76">
        <f t="shared" si="76"/>
        <v>10541.808619020008</v>
      </c>
      <c r="Y297" s="76">
        <f t="shared" si="76"/>
        <v>10541.808619020008</v>
      </c>
      <c r="Z297" s="222">
        <f t="shared" si="76"/>
        <v>10541.808619020008</v>
      </c>
    </row>
    <row r="298" spans="1:26" x14ac:dyDescent="0.25">
      <c r="A298" s="27"/>
      <c r="B298" s="56" t="s">
        <v>15</v>
      </c>
      <c r="C298" s="39"/>
      <c r="D298" s="39"/>
      <c r="E298" s="39"/>
      <c r="F298" s="109">
        <f t="shared" ref="F298:Z298" si="77">F291-F284</f>
        <v>0</v>
      </c>
      <c r="G298" s="109">
        <f t="shared" si="77"/>
        <v>-2908.6607938054367</v>
      </c>
      <c r="H298" s="109">
        <f t="shared" si="77"/>
        <v>1741.8823152200594</v>
      </c>
      <c r="I298" s="109">
        <f t="shared" si="77"/>
        <v>3353.4617887020104</v>
      </c>
      <c r="J298" s="109">
        <f t="shared" si="77"/>
        <v>5127.7713894034023</v>
      </c>
      <c r="K298" s="109">
        <f t="shared" si="77"/>
        <v>5109.9516039961063</v>
      </c>
      <c r="L298" s="109">
        <f t="shared" si="77"/>
        <v>5091.9536207347392</v>
      </c>
      <c r="M298" s="109">
        <f t="shared" si="77"/>
        <v>5073.7756576407537</v>
      </c>
      <c r="N298" s="109">
        <f t="shared" si="77"/>
        <v>5055.4159149158313</v>
      </c>
      <c r="O298" s="109">
        <f t="shared" si="77"/>
        <v>5036.8725747636599</v>
      </c>
      <c r="P298" s="109">
        <f t="shared" si="77"/>
        <v>5018.1438012099652</v>
      </c>
      <c r="Q298" s="109">
        <f t="shared" si="77"/>
        <v>4999.2277399207342</v>
      </c>
      <c r="R298" s="109">
        <f t="shared" si="77"/>
        <v>4980.122518018612</v>
      </c>
      <c r="S298" s="109">
        <f t="shared" si="77"/>
        <v>4960.826243897468</v>
      </c>
      <c r="T298" s="109">
        <f t="shared" si="77"/>
        <v>4941.3370070351129</v>
      </c>
      <c r="U298" s="109">
        <f t="shared" si="77"/>
        <v>4921.6528778041338</v>
      </c>
      <c r="V298" s="109">
        <f t="shared" si="77"/>
        <v>4901.771907280845</v>
      </c>
      <c r="W298" s="109">
        <f t="shared" si="77"/>
        <v>4881.6921270523217</v>
      </c>
      <c r="X298" s="109">
        <f t="shared" si="77"/>
        <v>4861.4115490215136</v>
      </c>
      <c r="Y298" s="109">
        <f t="shared" si="77"/>
        <v>4840.9281652104019</v>
      </c>
      <c r="Z298" s="110">
        <f t="shared" si="77"/>
        <v>4820.2399475611746</v>
      </c>
    </row>
    <row r="299" spans="1:26" x14ac:dyDescent="0.25">
      <c r="A299" s="27"/>
      <c r="B299" s="9"/>
      <c r="C299" s="2"/>
      <c r="D299" s="2"/>
      <c r="E299" s="2"/>
      <c r="F299" s="76"/>
      <c r="G299" s="76"/>
      <c r="H299" s="76"/>
      <c r="I299" s="76"/>
      <c r="J299" s="76"/>
      <c r="K299" s="76"/>
      <c r="L299" s="76"/>
      <c r="M299" s="76"/>
      <c r="N299" s="76"/>
      <c r="O299" s="76"/>
      <c r="P299" s="76"/>
      <c r="Q299" s="76"/>
      <c r="R299" s="76"/>
      <c r="S299" s="76"/>
      <c r="T299" s="76"/>
      <c r="U299" s="76"/>
      <c r="V299" s="76"/>
      <c r="W299" s="76"/>
      <c r="X299" s="76"/>
      <c r="Y299" s="76"/>
      <c r="Z299" s="77"/>
    </row>
    <row r="300" spans="1:26" x14ac:dyDescent="0.25">
      <c r="A300" s="27"/>
      <c r="B300" s="111" t="s">
        <v>66</v>
      </c>
      <c r="C300" s="272">
        <f>NPV($D$168,H298:AA298)+G298</f>
        <v>29850.978056946282</v>
      </c>
      <c r="D300" s="4"/>
      <c r="E300" s="2"/>
      <c r="F300" s="76"/>
      <c r="G300" s="76"/>
      <c r="H300" s="76"/>
      <c r="I300" s="76"/>
      <c r="J300" s="76"/>
      <c r="K300" s="76"/>
      <c r="L300" s="76"/>
      <c r="M300" s="76"/>
      <c r="N300" s="76"/>
      <c r="O300" s="76"/>
      <c r="P300" s="76"/>
      <c r="Q300" s="76"/>
      <c r="R300" s="76"/>
      <c r="S300" s="76"/>
      <c r="T300" s="76"/>
      <c r="U300" s="76"/>
      <c r="V300" s="76"/>
      <c r="W300" s="237"/>
      <c r="X300" s="76"/>
      <c r="Y300" s="76"/>
      <c r="Z300" s="77"/>
    </row>
    <row r="301" spans="1:26" ht="15.75" thickBot="1" x14ac:dyDescent="0.3">
      <c r="A301" s="27"/>
      <c r="B301" s="16"/>
      <c r="C301" s="12"/>
      <c r="D301" s="12"/>
      <c r="E301" s="12"/>
      <c r="F301" s="80"/>
      <c r="G301" s="80"/>
      <c r="H301" s="80"/>
      <c r="I301" s="80"/>
      <c r="J301" s="80"/>
      <c r="K301" s="80"/>
      <c r="L301" s="80"/>
      <c r="M301" s="80"/>
      <c r="N301" s="80"/>
      <c r="O301" s="80"/>
      <c r="P301" s="80"/>
      <c r="Q301" s="81"/>
      <c r="R301" s="81"/>
      <c r="S301" s="81"/>
      <c r="T301" s="81"/>
      <c r="U301" s="81"/>
      <c r="V301" s="81"/>
      <c r="W301" s="81"/>
      <c r="X301" s="81"/>
      <c r="Y301" s="81"/>
      <c r="Z301" s="82"/>
    </row>
    <row r="302" spans="1:26" ht="15.75" thickBot="1" x14ac:dyDescent="0.3">
      <c r="A302" s="2"/>
      <c r="B302" s="2"/>
      <c r="C302" s="2"/>
      <c r="D302" s="2"/>
      <c r="E302" s="2"/>
      <c r="F302" s="76"/>
      <c r="G302" s="76"/>
      <c r="H302" s="76"/>
      <c r="I302" s="76"/>
      <c r="J302" s="76"/>
      <c r="K302" s="76"/>
      <c r="L302" s="76"/>
      <c r="M302" s="76"/>
      <c r="N302" s="76"/>
      <c r="O302" s="76"/>
      <c r="P302" s="76"/>
      <c r="Q302" s="78"/>
      <c r="R302" s="78"/>
      <c r="S302" s="78"/>
      <c r="T302" s="78"/>
      <c r="U302" s="78"/>
      <c r="V302" s="78"/>
      <c r="W302" s="78"/>
      <c r="X302" s="78"/>
      <c r="Y302" s="78"/>
      <c r="Z302" s="78"/>
    </row>
    <row r="303" spans="1:26" x14ac:dyDescent="0.25">
      <c r="A303" s="1"/>
      <c r="B303" s="48" t="s">
        <v>264</v>
      </c>
      <c r="C303" s="49"/>
      <c r="D303" s="49"/>
      <c r="E303" s="50"/>
      <c r="F303" s="50"/>
      <c r="G303" s="50"/>
      <c r="H303" s="50"/>
      <c r="I303" s="50"/>
      <c r="J303" s="50"/>
      <c r="K303" s="50"/>
      <c r="L303" s="50"/>
      <c r="M303" s="50"/>
      <c r="N303" s="50"/>
      <c r="O303" s="50"/>
      <c r="P303" s="50"/>
      <c r="Q303" s="50"/>
      <c r="R303" s="50"/>
      <c r="S303" s="50"/>
      <c r="T303" s="50"/>
      <c r="U303" s="50"/>
      <c r="V303" s="50"/>
      <c r="W303" s="50"/>
      <c r="X303" s="50"/>
      <c r="Y303" s="50"/>
      <c r="Z303" s="51"/>
    </row>
    <row r="304" spans="1:26" x14ac:dyDescent="0.25">
      <c r="A304" s="1"/>
      <c r="B304" s="154"/>
      <c r="C304" s="142"/>
      <c r="D304" s="142"/>
      <c r="E304" s="143" t="s">
        <v>8</v>
      </c>
      <c r="F304" s="144">
        <v>0</v>
      </c>
      <c r="G304" s="144">
        <v>1</v>
      </c>
      <c r="H304" s="144">
        <v>2</v>
      </c>
      <c r="I304" s="144">
        <v>3</v>
      </c>
      <c r="J304" s="144">
        <v>4</v>
      </c>
      <c r="K304" s="144">
        <v>5</v>
      </c>
      <c r="L304" s="144">
        <v>6</v>
      </c>
      <c r="M304" s="144">
        <v>7</v>
      </c>
      <c r="N304" s="144">
        <v>8</v>
      </c>
      <c r="O304" s="144">
        <v>9</v>
      </c>
      <c r="P304" s="144">
        <v>10</v>
      </c>
      <c r="Q304" s="144">
        <v>11</v>
      </c>
      <c r="R304" s="144">
        <v>12</v>
      </c>
      <c r="S304" s="144">
        <v>13</v>
      </c>
      <c r="T304" s="144">
        <v>14</v>
      </c>
      <c r="U304" s="144">
        <v>15</v>
      </c>
      <c r="V304" s="144">
        <v>16</v>
      </c>
      <c r="W304" s="144">
        <v>17</v>
      </c>
      <c r="X304" s="144">
        <v>18</v>
      </c>
      <c r="Y304" s="144">
        <v>19</v>
      </c>
      <c r="Z304" s="145">
        <v>20</v>
      </c>
    </row>
    <row r="305" spans="1:26" x14ac:dyDescent="0.25">
      <c r="B305" s="9"/>
      <c r="C305" s="2"/>
      <c r="D305" s="2"/>
      <c r="E305" s="2"/>
      <c r="F305" s="74"/>
      <c r="G305" s="74"/>
      <c r="H305" s="74"/>
      <c r="I305" s="74"/>
      <c r="J305" s="74"/>
      <c r="K305" s="74"/>
      <c r="L305" s="74"/>
      <c r="M305" s="74"/>
      <c r="N305" s="74"/>
      <c r="O305" s="74"/>
      <c r="P305" s="74"/>
      <c r="Q305" s="74"/>
      <c r="R305" s="74"/>
      <c r="S305" s="74"/>
      <c r="T305" s="74"/>
      <c r="U305" s="74"/>
      <c r="V305" s="74"/>
      <c r="W305" s="74"/>
      <c r="X305" s="74"/>
      <c r="Y305" s="74"/>
      <c r="Z305" s="75"/>
    </row>
    <row r="306" spans="1:26" s="69" customFormat="1" ht="15.75" x14ac:dyDescent="0.25">
      <c r="B306" s="107" t="s">
        <v>64</v>
      </c>
      <c r="C306" s="4"/>
      <c r="D306" s="4"/>
      <c r="E306" s="4"/>
      <c r="F306" s="76"/>
      <c r="G306" s="76"/>
      <c r="H306" s="76"/>
      <c r="I306" s="76"/>
      <c r="J306" s="76"/>
      <c r="K306" s="76"/>
      <c r="L306" s="76"/>
      <c r="M306" s="76"/>
      <c r="N306" s="76"/>
      <c r="O306" s="76"/>
      <c r="P306" s="76"/>
      <c r="Q306" s="76"/>
      <c r="R306" s="76"/>
      <c r="S306" s="76"/>
      <c r="T306" s="76"/>
      <c r="U306" s="76"/>
      <c r="V306" s="76"/>
      <c r="W306" s="76"/>
      <c r="X306" s="76"/>
      <c r="Y306" s="76"/>
      <c r="Z306" s="77"/>
    </row>
    <row r="307" spans="1:26" s="69" customFormat="1" x14ac:dyDescent="0.25">
      <c r="B307" s="106" t="s">
        <v>60</v>
      </c>
      <c r="C307" s="4"/>
      <c r="D307" s="4"/>
      <c r="E307" s="4"/>
      <c r="F307" s="76">
        <f t="shared" ref="F307:Z307" si="78">F280</f>
        <v>4561.516452074392</v>
      </c>
      <c r="G307" s="76">
        <f t="shared" si="78"/>
        <v>4561.516452074392</v>
      </c>
      <c r="H307" s="76">
        <f t="shared" si="78"/>
        <v>4561.516452074392</v>
      </c>
      <c r="I307" s="76">
        <f t="shared" si="78"/>
        <v>4561.516452074392</v>
      </c>
      <c r="J307" s="76">
        <f t="shared" si="78"/>
        <v>4561.516452074392</v>
      </c>
      <c r="K307" s="76">
        <f t="shared" si="78"/>
        <v>4561.516452074392</v>
      </c>
      <c r="L307" s="76">
        <f t="shared" si="78"/>
        <v>4561.516452074392</v>
      </c>
      <c r="M307" s="76">
        <f t="shared" si="78"/>
        <v>4561.516452074392</v>
      </c>
      <c r="N307" s="76">
        <f t="shared" si="78"/>
        <v>4561.516452074392</v>
      </c>
      <c r="O307" s="76">
        <f t="shared" si="78"/>
        <v>4561.516452074392</v>
      </c>
      <c r="P307" s="76">
        <f t="shared" si="78"/>
        <v>4561.516452074392</v>
      </c>
      <c r="Q307" s="76">
        <f t="shared" si="78"/>
        <v>4561.516452074392</v>
      </c>
      <c r="R307" s="76">
        <f t="shared" si="78"/>
        <v>4561.516452074392</v>
      </c>
      <c r="S307" s="76">
        <f t="shared" si="78"/>
        <v>4561.516452074392</v>
      </c>
      <c r="T307" s="76">
        <f t="shared" si="78"/>
        <v>4561.516452074392</v>
      </c>
      <c r="U307" s="76">
        <f t="shared" si="78"/>
        <v>4561.516452074392</v>
      </c>
      <c r="V307" s="76">
        <f t="shared" si="78"/>
        <v>4561.516452074392</v>
      </c>
      <c r="W307" s="76">
        <f t="shared" si="78"/>
        <v>4561.516452074392</v>
      </c>
      <c r="X307" s="76">
        <f t="shared" si="78"/>
        <v>4561.516452074392</v>
      </c>
      <c r="Y307" s="76">
        <f t="shared" si="78"/>
        <v>4561.516452074392</v>
      </c>
      <c r="Z307" s="77">
        <f t="shared" si="78"/>
        <v>4561.516452074392</v>
      </c>
    </row>
    <row r="308" spans="1:26" x14ac:dyDescent="0.25">
      <c r="A308" s="27"/>
      <c r="B308" s="9" t="s">
        <v>61</v>
      </c>
      <c r="C308" s="2"/>
      <c r="D308" s="2"/>
      <c r="E308" s="2"/>
      <c r="F308" s="76">
        <f t="shared" ref="F308:Z308" si="79">F281</f>
        <v>3936.7559170243208</v>
      </c>
      <c r="G308" s="76">
        <f t="shared" si="79"/>
        <v>3147.8729761945638</v>
      </c>
      <c r="H308" s="76">
        <f t="shared" si="79"/>
        <v>3179.3517059565092</v>
      </c>
      <c r="I308" s="76">
        <f t="shared" si="79"/>
        <v>4031.1952230160741</v>
      </c>
      <c r="J308" s="76">
        <f t="shared" si="79"/>
        <v>3243.2566752462358</v>
      </c>
      <c r="K308" s="76">
        <f t="shared" si="79"/>
        <v>3275.689241998698</v>
      </c>
      <c r="L308" s="76">
        <f t="shared" si="79"/>
        <v>4128.496134418685</v>
      </c>
      <c r="M308" s="76">
        <f t="shared" si="79"/>
        <v>3341.5305957628711</v>
      </c>
      <c r="N308" s="76">
        <f t="shared" si="79"/>
        <v>3374.9459017205004</v>
      </c>
      <c r="O308" s="76">
        <f t="shared" si="79"/>
        <v>4228.7453607377056</v>
      </c>
      <c r="P308" s="76">
        <f t="shared" si="79"/>
        <v>3442.7823143450823</v>
      </c>
      <c r="Q308" s="76">
        <f t="shared" si="79"/>
        <v>3477.2101374885328</v>
      </c>
      <c r="R308" s="76">
        <f t="shared" si="79"/>
        <v>4332.0322388634186</v>
      </c>
      <c r="S308" s="76">
        <f t="shared" si="79"/>
        <v>3547.1020612520533</v>
      </c>
      <c r="T308" s="76">
        <f t="shared" si="79"/>
        <v>3582.5730818645734</v>
      </c>
      <c r="U308" s="76">
        <f t="shared" si="79"/>
        <v>4438.4488126832193</v>
      </c>
      <c r="V308" s="76">
        <f t="shared" si="79"/>
        <v>3654.5828008100511</v>
      </c>
      <c r="W308" s="76">
        <f t="shared" si="79"/>
        <v>3691.1286288181518</v>
      </c>
      <c r="X308" s="76">
        <f t="shared" si="79"/>
        <v>4548.0899151063331</v>
      </c>
      <c r="Y308" s="76">
        <f t="shared" si="79"/>
        <v>3765.3203142573971</v>
      </c>
      <c r="Z308" s="77">
        <f t="shared" si="79"/>
        <v>3802.9735173999716</v>
      </c>
    </row>
    <row r="309" spans="1:26" x14ac:dyDescent="0.25">
      <c r="A309" s="27"/>
      <c r="B309" s="9" t="s">
        <v>262</v>
      </c>
      <c r="C309" s="2"/>
      <c r="D309" s="2"/>
      <c r="E309" s="2"/>
      <c r="F309" s="76"/>
      <c r="G309" s="76">
        <f>0.3*$F$14*($F$163*G205+$F$164)</f>
        <v>82.618025751072963</v>
      </c>
      <c r="H309" s="76"/>
      <c r="I309" s="76"/>
      <c r="J309" s="76"/>
      <c r="K309" s="76"/>
      <c r="L309" s="76"/>
      <c r="M309" s="76"/>
      <c r="N309" s="76"/>
      <c r="O309" s="76"/>
      <c r="P309" s="76">
        <f>0.3*$F$14*($F$163*P205+$F$164)</f>
        <v>82.618025751072963</v>
      </c>
      <c r="Q309" s="76"/>
      <c r="R309" s="76"/>
      <c r="S309" s="76"/>
      <c r="T309" s="76"/>
      <c r="U309" s="76"/>
      <c r="V309" s="76"/>
      <c r="W309" s="76"/>
      <c r="X309" s="76"/>
      <c r="Y309" s="76"/>
      <c r="Z309" s="77">
        <f>0.3*$F$14*($F$163*Z205+$F$164)</f>
        <v>82.618025751072963</v>
      </c>
    </row>
    <row r="310" spans="1:26" x14ac:dyDescent="0.25">
      <c r="A310" s="27"/>
      <c r="B310" s="9" t="s">
        <v>62</v>
      </c>
      <c r="C310" s="2"/>
      <c r="D310" s="2"/>
      <c r="E310" s="2"/>
      <c r="F310" s="76">
        <f>F282</f>
        <v>3385.2356999999997</v>
      </c>
      <c r="G310" s="76">
        <f t="shared" ref="G310:I311" si="80">G282*0.7</f>
        <v>2369.6649899999998</v>
      </c>
      <c r="H310" s="76">
        <f t="shared" si="80"/>
        <v>2369.6649899999998</v>
      </c>
      <c r="I310" s="76">
        <f t="shared" si="80"/>
        <v>2369.6649899999998</v>
      </c>
      <c r="J310" s="76">
        <f>J282*0.7+0.3*0.33*J282</f>
        <v>2704.8033243</v>
      </c>
      <c r="K310" s="76">
        <f>K282*0.7+0.3*0.66*K282</f>
        <v>3039.9416585999998</v>
      </c>
      <c r="L310" s="76">
        <f t="shared" ref="L310:O311" si="81">L282</f>
        <v>3385.2356999999997</v>
      </c>
      <c r="M310" s="76">
        <f t="shared" si="81"/>
        <v>3385.2356999999997</v>
      </c>
      <c r="N310" s="76">
        <f t="shared" si="81"/>
        <v>3385.2356999999997</v>
      </c>
      <c r="O310" s="76">
        <f t="shared" si="81"/>
        <v>3385.2356999999997</v>
      </c>
      <c r="P310" s="76">
        <f t="shared" ref="P310:R311" si="82">P282*0.7</f>
        <v>2369.6649899999998</v>
      </c>
      <c r="Q310" s="76">
        <f t="shared" si="82"/>
        <v>2369.6649899999998</v>
      </c>
      <c r="R310" s="76">
        <f t="shared" si="82"/>
        <v>2369.6649899999998</v>
      </c>
      <c r="S310" s="76">
        <f>S282*0.7+0.3*0.33*S282</f>
        <v>2704.8033243</v>
      </c>
      <c r="T310" s="76">
        <f>T282*0.7+0.3*0.66*T282</f>
        <v>3039.9416585999998</v>
      </c>
      <c r="U310" s="76">
        <f t="shared" ref="U310:Y311" si="83">U282</f>
        <v>3385.2356999999997</v>
      </c>
      <c r="V310" s="76">
        <f t="shared" si="83"/>
        <v>3385.2356999999997</v>
      </c>
      <c r="W310" s="76">
        <f t="shared" si="83"/>
        <v>3385.2356999999997</v>
      </c>
      <c r="X310" s="76">
        <f t="shared" si="83"/>
        <v>3385.2356999999997</v>
      </c>
      <c r="Y310" s="76">
        <f t="shared" si="83"/>
        <v>3385.2356999999997</v>
      </c>
      <c r="Z310" s="77">
        <f>Z282*0.7</f>
        <v>2369.6649899999998</v>
      </c>
    </row>
    <row r="311" spans="1:26" x14ac:dyDescent="0.25">
      <c r="A311" s="27"/>
      <c r="B311" s="9" t="s">
        <v>63</v>
      </c>
      <c r="C311" s="2"/>
      <c r="D311" s="2"/>
      <c r="E311" s="2"/>
      <c r="F311" s="76">
        <f>F283</f>
        <v>7180.802999999999</v>
      </c>
      <c r="G311" s="76">
        <f t="shared" si="80"/>
        <v>5026.5620999999992</v>
      </c>
      <c r="H311" s="76">
        <f t="shared" si="80"/>
        <v>5026.5620999999992</v>
      </c>
      <c r="I311" s="76">
        <f t="shared" si="80"/>
        <v>5026.5620999999992</v>
      </c>
      <c r="J311" s="76">
        <f>J283*0.7+0.3*0.33*J283</f>
        <v>5737.4615969999995</v>
      </c>
      <c r="K311" s="76">
        <f>K283*0.7+0.3*0.66*K283</f>
        <v>6448.361093999999</v>
      </c>
      <c r="L311" s="76">
        <f t="shared" si="81"/>
        <v>7180.802999999999</v>
      </c>
      <c r="M311" s="76">
        <f t="shared" si="81"/>
        <v>7180.802999999999</v>
      </c>
      <c r="N311" s="76">
        <f t="shared" si="81"/>
        <v>7180.802999999999</v>
      </c>
      <c r="O311" s="76">
        <f t="shared" si="81"/>
        <v>7180.802999999999</v>
      </c>
      <c r="P311" s="76">
        <f t="shared" si="82"/>
        <v>5026.5620999999992</v>
      </c>
      <c r="Q311" s="76">
        <f t="shared" si="82"/>
        <v>5026.5620999999992</v>
      </c>
      <c r="R311" s="76">
        <f t="shared" si="82"/>
        <v>5026.5620999999992</v>
      </c>
      <c r="S311" s="76">
        <f>S283*0.7+0.3*0.33*S283</f>
        <v>5737.4615969999995</v>
      </c>
      <c r="T311" s="76">
        <f>T283*0.7+0.3*0.66*T283</f>
        <v>6448.361093999999</v>
      </c>
      <c r="U311" s="76">
        <f t="shared" si="83"/>
        <v>7180.802999999999</v>
      </c>
      <c r="V311" s="76">
        <f t="shared" si="83"/>
        <v>7180.802999999999</v>
      </c>
      <c r="W311" s="76">
        <f t="shared" si="83"/>
        <v>7180.802999999999</v>
      </c>
      <c r="X311" s="76">
        <f t="shared" si="83"/>
        <v>7180.802999999999</v>
      </c>
      <c r="Y311" s="76">
        <f t="shared" si="83"/>
        <v>7180.802999999999</v>
      </c>
      <c r="Z311" s="77">
        <f>Z283*0.7</f>
        <v>5026.5620999999992</v>
      </c>
    </row>
    <row r="312" spans="1:26" x14ac:dyDescent="0.25">
      <c r="A312" s="27"/>
      <c r="B312" s="56" t="s">
        <v>57</v>
      </c>
      <c r="C312" s="39"/>
      <c r="D312" s="39"/>
      <c r="E312" s="39"/>
      <c r="F312" s="109">
        <f t="shared" ref="F312:Z312" si="84">SUM(F310:F311)-SUM(F307:F309)</f>
        <v>2067.766330901286</v>
      </c>
      <c r="G312" s="109">
        <f t="shared" si="84"/>
        <v>-395.7803640200309</v>
      </c>
      <c r="H312" s="109">
        <f t="shared" si="84"/>
        <v>-344.64106803090272</v>
      </c>
      <c r="I312" s="109">
        <f t="shared" si="84"/>
        <v>-1196.4845850904676</v>
      </c>
      <c r="J312" s="109">
        <f t="shared" si="84"/>
        <v>637.49179397937223</v>
      </c>
      <c r="K312" s="109">
        <f t="shared" si="84"/>
        <v>1651.0970585269088</v>
      </c>
      <c r="L312" s="109">
        <f t="shared" si="84"/>
        <v>1876.0261135069213</v>
      </c>
      <c r="M312" s="109">
        <f t="shared" si="84"/>
        <v>2662.9916521627365</v>
      </c>
      <c r="N312" s="109">
        <f t="shared" si="84"/>
        <v>2629.5763462051073</v>
      </c>
      <c r="O312" s="109">
        <f t="shared" si="84"/>
        <v>1775.7768871879016</v>
      </c>
      <c r="P312" s="109">
        <f t="shared" si="84"/>
        <v>-690.68970217054903</v>
      </c>
      <c r="Q312" s="109">
        <f t="shared" si="84"/>
        <v>-642.49949956292585</v>
      </c>
      <c r="R312" s="109">
        <f t="shared" si="84"/>
        <v>-1497.321600937812</v>
      </c>
      <c r="S312" s="109">
        <f t="shared" si="84"/>
        <v>333.64640797355514</v>
      </c>
      <c r="T312" s="109">
        <f t="shared" si="84"/>
        <v>1344.2132186610334</v>
      </c>
      <c r="U312" s="109">
        <f t="shared" si="84"/>
        <v>1566.0734352423879</v>
      </c>
      <c r="V312" s="109">
        <f t="shared" si="84"/>
        <v>2349.9394471155556</v>
      </c>
      <c r="W312" s="109">
        <f t="shared" si="84"/>
        <v>2313.3936191074554</v>
      </c>
      <c r="X312" s="109">
        <f t="shared" si="84"/>
        <v>1456.432332819275</v>
      </c>
      <c r="Y312" s="109">
        <f t="shared" si="84"/>
        <v>2239.2019336682097</v>
      </c>
      <c r="Z312" s="110">
        <f t="shared" si="84"/>
        <v>-1050.8809052254383</v>
      </c>
    </row>
    <row r="313" spans="1:26" x14ac:dyDescent="0.25">
      <c r="A313" s="27"/>
      <c r="B313" s="9"/>
      <c r="C313" s="2"/>
      <c r="D313" s="2"/>
      <c r="E313" s="2"/>
      <c r="F313" s="76"/>
      <c r="G313" s="76"/>
      <c r="H313" s="76"/>
      <c r="I313" s="76"/>
      <c r="J313" s="76"/>
      <c r="K313" s="76"/>
      <c r="L313" s="76"/>
      <c r="M313" s="76"/>
      <c r="N313" s="76"/>
      <c r="O313" s="76"/>
      <c r="P313" s="76"/>
      <c r="Q313" s="76"/>
      <c r="R313" s="76"/>
      <c r="S313" s="76"/>
      <c r="T313" s="76"/>
      <c r="U313" s="76"/>
      <c r="V313" s="76"/>
      <c r="W313" s="76"/>
      <c r="X313" s="76"/>
      <c r="Y313" s="76"/>
      <c r="Z313" s="77"/>
    </row>
    <row r="314" spans="1:26" ht="15.75" x14ac:dyDescent="0.25">
      <c r="A314" s="38"/>
      <c r="B314" s="108" t="s">
        <v>65</v>
      </c>
      <c r="C314" s="2"/>
      <c r="D314" s="2"/>
      <c r="E314" s="2"/>
      <c r="F314" s="76"/>
      <c r="G314" s="76"/>
      <c r="H314" s="76"/>
      <c r="I314" s="76"/>
      <c r="J314" s="76"/>
      <c r="K314" s="76"/>
      <c r="L314" s="76"/>
      <c r="M314" s="76"/>
      <c r="N314" s="76"/>
      <c r="O314" s="76"/>
      <c r="P314" s="76"/>
      <c r="Q314" s="78"/>
      <c r="R314" s="78"/>
      <c r="S314" s="78"/>
      <c r="T314" s="78"/>
      <c r="U314" s="78"/>
      <c r="V314" s="78"/>
      <c r="W314" s="78"/>
      <c r="X314" s="78"/>
      <c r="Y314" s="78"/>
      <c r="Z314" s="79"/>
    </row>
    <row r="315" spans="1:26" x14ac:dyDescent="0.25">
      <c r="A315" s="38"/>
      <c r="B315" s="106" t="s">
        <v>60</v>
      </c>
      <c r="C315" s="2"/>
      <c r="D315" s="2"/>
      <c r="E315" s="2"/>
      <c r="F315" s="76">
        <f t="shared" ref="F315:Z315" si="85">F287</f>
        <v>4561.516452074392</v>
      </c>
      <c r="G315" s="76">
        <f t="shared" si="85"/>
        <v>6797.2103004291848</v>
      </c>
      <c r="H315" s="76">
        <f t="shared" si="85"/>
        <v>6797.2103004291848</v>
      </c>
      <c r="I315" s="76">
        <f t="shared" si="85"/>
        <v>6797.2103004291848</v>
      </c>
      <c r="J315" s="76">
        <f t="shared" si="85"/>
        <v>6797.2103004291848</v>
      </c>
      <c r="K315" s="76">
        <f t="shared" si="85"/>
        <v>6797.2103004291848</v>
      </c>
      <c r="L315" s="76">
        <f t="shared" si="85"/>
        <v>6797.2103004291848</v>
      </c>
      <c r="M315" s="76">
        <f t="shared" si="85"/>
        <v>6797.2103004291848</v>
      </c>
      <c r="N315" s="76">
        <f t="shared" si="85"/>
        <v>6797.2103004291848</v>
      </c>
      <c r="O315" s="76">
        <f t="shared" si="85"/>
        <v>6797.2103004291848</v>
      </c>
      <c r="P315" s="76">
        <f t="shared" si="85"/>
        <v>6797.2103004291848</v>
      </c>
      <c r="Q315" s="76">
        <f t="shared" si="85"/>
        <v>6797.2103004291848</v>
      </c>
      <c r="R315" s="76">
        <f t="shared" si="85"/>
        <v>6797.2103004291848</v>
      </c>
      <c r="S315" s="76">
        <f t="shared" si="85"/>
        <v>6797.2103004291848</v>
      </c>
      <c r="T315" s="76">
        <f t="shared" si="85"/>
        <v>6797.2103004291848</v>
      </c>
      <c r="U315" s="76">
        <f t="shared" si="85"/>
        <v>6797.2103004291848</v>
      </c>
      <c r="V315" s="76">
        <f t="shared" si="85"/>
        <v>6797.2103004291848</v>
      </c>
      <c r="W315" s="76">
        <f t="shared" si="85"/>
        <v>6797.2103004291848</v>
      </c>
      <c r="X315" s="76">
        <f t="shared" si="85"/>
        <v>6797.2103004291848</v>
      </c>
      <c r="Y315" s="76">
        <f t="shared" si="85"/>
        <v>6797.2103004291848</v>
      </c>
      <c r="Z315" s="77">
        <f t="shared" si="85"/>
        <v>6797.2103004291848</v>
      </c>
    </row>
    <row r="316" spans="1:26" x14ac:dyDescent="0.25">
      <c r="A316" s="38"/>
      <c r="B316" s="9" t="s">
        <v>61</v>
      </c>
      <c r="C316" s="2"/>
      <c r="D316" s="2"/>
      <c r="E316" s="2"/>
      <c r="F316" s="76">
        <f t="shared" ref="F316:Z316" si="86">F288</f>
        <v>3936.7559170243208</v>
      </c>
      <c r="G316" s="76">
        <f t="shared" si="86"/>
        <v>4877.443791645208</v>
      </c>
      <c r="H316" s="76">
        <f t="shared" si="86"/>
        <v>4926.2182295616594</v>
      </c>
      <c r="I316" s="76">
        <f t="shared" si="86"/>
        <v>5795.5304118572758</v>
      </c>
      <c r="J316" s="76">
        <f t="shared" si="86"/>
        <v>5025.2352159758493</v>
      </c>
      <c r="K316" s="76">
        <f t="shared" si="86"/>
        <v>5075.487568135607</v>
      </c>
      <c r="L316" s="76">
        <f t="shared" si="86"/>
        <v>5946.292443816963</v>
      </c>
      <c r="M316" s="76">
        <f t="shared" si="86"/>
        <v>5177.5048682551324</v>
      </c>
      <c r="N316" s="76">
        <f t="shared" si="86"/>
        <v>5229.279916937684</v>
      </c>
      <c r="O316" s="76">
        <f t="shared" si="86"/>
        <v>6101.6227161070619</v>
      </c>
      <c r="P316" s="76">
        <f t="shared" si="86"/>
        <v>5334.3884432681325</v>
      </c>
      <c r="Q316" s="76">
        <f t="shared" si="86"/>
        <v>5387.7323277008136</v>
      </c>
      <c r="R316" s="76">
        <f t="shared" si="86"/>
        <v>6261.659650977821</v>
      </c>
      <c r="S316" s="76">
        <f t="shared" si="86"/>
        <v>5496.0257474876007</v>
      </c>
      <c r="T316" s="76">
        <f t="shared" si="86"/>
        <v>5550.9860049624758</v>
      </c>
      <c r="U316" s="76">
        <f t="shared" si="86"/>
        <v>6426.5458650121018</v>
      </c>
      <c r="V316" s="76">
        <f t="shared" si="86"/>
        <v>5662.560823662222</v>
      </c>
      <c r="W316" s="76">
        <f t="shared" si="86"/>
        <v>5719.1864318988446</v>
      </c>
      <c r="X316" s="76">
        <f t="shared" si="86"/>
        <v>6596.428296217834</v>
      </c>
      <c r="Y316" s="76">
        <f t="shared" si="86"/>
        <v>5834.142079180011</v>
      </c>
      <c r="Z316" s="77">
        <f t="shared" si="86"/>
        <v>5892.4834999718114</v>
      </c>
    </row>
    <row r="317" spans="1:26" x14ac:dyDescent="0.25">
      <c r="A317" s="27"/>
      <c r="B317" s="9" t="s">
        <v>262</v>
      </c>
      <c r="C317" s="2"/>
      <c r="D317" s="2"/>
      <c r="E317" s="2"/>
      <c r="F317" s="76"/>
      <c r="G317" s="76">
        <f>0.3*$H$14*($H$163*G205+$H$164)</f>
        <v>308.1862660944206</v>
      </c>
      <c r="H317" s="76"/>
      <c r="I317" s="76"/>
      <c r="J317" s="76"/>
      <c r="K317" s="76"/>
      <c r="L317" s="76"/>
      <c r="M317" s="76"/>
      <c r="N317" s="76"/>
      <c r="O317" s="76"/>
      <c r="P317" s="76">
        <f>0.3*$H$14*($H$163*P205+$H$164)</f>
        <v>308.1862660944206</v>
      </c>
      <c r="Q317" s="76"/>
      <c r="R317" s="76"/>
      <c r="S317" s="76"/>
      <c r="T317" s="76"/>
      <c r="U317" s="76"/>
      <c r="V317" s="76"/>
      <c r="W317" s="76"/>
      <c r="X317" s="76"/>
      <c r="Y317" s="76"/>
      <c r="Z317" s="77">
        <f>0.3*$H$14*($H$163*Z205+$H$164)</f>
        <v>308.1862660944206</v>
      </c>
    </row>
    <row r="318" spans="1:26" x14ac:dyDescent="0.25">
      <c r="A318" s="27"/>
      <c r="B318" s="9" t="s">
        <v>62</v>
      </c>
      <c r="C318" s="2"/>
      <c r="D318" s="2"/>
      <c r="E318" s="2"/>
      <c r="F318" s="76">
        <f>F289</f>
        <v>3385.2356999999997</v>
      </c>
      <c r="G318" s="76">
        <f t="shared" ref="G318:I319" si="87">G289*0.7</f>
        <v>2606.6314889999999</v>
      </c>
      <c r="H318" s="76">
        <f t="shared" si="87"/>
        <v>1150.5864476259999</v>
      </c>
      <c r="I318" s="76">
        <f t="shared" si="87"/>
        <v>1265.6450923886002</v>
      </c>
      <c r="J318" s="76">
        <f>J289*0.7+0.3*0.33*$H$14*$F$17*$H$26*$H$20*$H$22*G$203*J$204</f>
        <v>1556.4218027650602</v>
      </c>
      <c r="K318" s="76">
        <f>K289*0.7+0.3*0.66*$H$14*$F$17*$H$26*$H$20*$H$22*H$203*K$204</f>
        <v>1765.9339214578602</v>
      </c>
      <c r="L318" s="76">
        <f>L289*0.7+0.3*$H$14*$F$17*$H$26*$H$20*$H$22*I$203*L$204</f>
        <v>2027.0948097874602</v>
      </c>
      <c r="M318" s="76">
        <f>M289*0.7+0.3*$H$14*$F$17*$H$26*$H$20*$H$22*J$203*M$204</f>
        <v>2095.7310485074604</v>
      </c>
      <c r="N318" s="76">
        <f>N289*0.7+0.3*$H$14*$F$17*$H$26*$H$20*$H$22*K$203*N$204</f>
        <v>2095.7310485074604</v>
      </c>
      <c r="O318" s="76">
        <f>O289</f>
        <v>1988.8708594678003</v>
      </c>
      <c r="P318" s="76">
        <f t="shared" ref="P318:R319" si="88">P289*0.7</f>
        <v>1392.2096016274602</v>
      </c>
      <c r="Q318" s="76">
        <f t="shared" si="88"/>
        <v>1392.2096016274602</v>
      </c>
      <c r="R318" s="76">
        <f t="shared" si="88"/>
        <v>1392.2096016274602</v>
      </c>
      <c r="S318" s="76">
        <f>S289*0.7+0.3*0.33*$H$14*$F$17*$H$26*$H$20*$H$22*G$203*S$204</f>
        <v>1556.4218027650602</v>
      </c>
      <c r="T318" s="76">
        <f>T289*0.7+0.3*0.66*$H$14*$F$17*$H$26*$H$20*$H$22*H$203*T$204</f>
        <v>1765.9339214578602</v>
      </c>
      <c r="U318" s="76">
        <f>U289*0.7+0.3*$H$14*$F$17*$H$26*$H$20*$H$22*I$203*U$204</f>
        <v>2027.0948097874602</v>
      </c>
      <c r="V318" s="76">
        <f>V289*0.7+0.3*$H$14*$F$17*$H$26*$H$20*$H$22*J$203*V$204</f>
        <v>2095.7310485074604</v>
      </c>
      <c r="W318" s="76">
        <f>W289*0.7+0.3*$H$14*$F$17*$H$26*$H$20*$H$22*K$203*W$204</f>
        <v>2095.7310485074604</v>
      </c>
      <c r="X318" s="76">
        <f>X289</f>
        <v>1988.8708594678003</v>
      </c>
      <c r="Y318" s="76">
        <f>Y289</f>
        <v>1988.8708594678003</v>
      </c>
      <c r="Z318" s="77">
        <f>Z289*0.7</f>
        <v>1392.2096016274602</v>
      </c>
    </row>
    <row r="319" spans="1:26" x14ac:dyDescent="0.25">
      <c r="A319" s="27"/>
      <c r="B319" s="9" t="s">
        <v>63</v>
      </c>
      <c r="C319" s="2"/>
      <c r="D319" s="2"/>
      <c r="E319" s="2"/>
      <c r="F319" s="76">
        <f>F290</f>
        <v>7180.802999999999</v>
      </c>
      <c r="G319" s="76">
        <f t="shared" si="87"/>
        <v>5529.2183099999993</v>
      </c>
      <c r="H319" s="76">
        <f t="shared" si="87"/>
        <v>10252.7505234</v>
      </c>
      <c r="I319" s="76">
        <f t="shared" si="87"/>
        <v>11278.025575740003</v>
      </c>
      <c r="J319" s="76">
        <f>J290*0.7+0.3*0.33*$H$14*$F$17*$H$27*$H$20*G$203*J$204</f>
        <v>13869.105173154006</v>
      </c>
      <c r="K319" s="76">
        <f>K290*0.7+0.3*0.66*$H$14*$F$17*$H$27*$H$20*H$203*K$204</f>
        <v>15736.044844674005</v>
      </c>
      <c r="L319" s="76">
        <f>L290*0.7+0.3*$H$14*$F$17*$H$27*$H$20*I$203*L$204</f>
        <v>18063.221077314003</v>
      </c>
      <c r="M319" s="76">
        <f>M290*0.7+0.3*$H$14*$F$17*$H$27*$H$20*J$203*M$204</f>
        <v>18674.831125314005</v>
      </c>
      <c r="N319" s="76">
        <f>N290*0.7+0.3*$H$14*$F$17*$H$27*$H$20*K$203*N$204</f>
        <v>18674.831125314005</v>
      </c>
      <c r="O319" s="76">
        <f>O290</f>
        <v>17722.611619020008</v>
      </c>
      <c r="P319" s="76">
        <f t="shared" si="88"/>
        <v>12405.828133314006</v>
      </c>
      <c r="Q319" s="76">
        <f t="shared" si="88"/>
        <v>12405.828133314006</v>
      </c>
      <c r="R319" s="76">
        <f t="shared" si="88"/>
        <v>12405.828133314006</v>
      </c>
      <c r="S319" s="76">
        <f>S290*0.7+0.3*0.33*$H$14*$F$17*$H$27*$H$20*G$203*S$204</f>
        <v>13869.105173154006</v>
      </c>
      <c r="T319" s="76">
        <f>T290*0.7+0.3*0.66*$H$14*$F$17*$H$27*$H$20*H$203*T$204</f>
        <v>15736.044844674005</v>
      </c>
      <c r="U319" s="76">
        <f>U290*0.7+0.3*$H$14*$F$17*$H$27*$H$20*I$203*U$204</f>
        <v>18063.221077314003</v>
      </c>
      <c r="V319" s="76">
        <f>V290*0.7+0.3*$H$14*$F$17*$H$27*$H$20*J$203*V$204</f>
        <v>18674.831125314005</v>
      </c>
      <c r="W319" s="76">
        <f>W290*0.7+0.3*$H$14*$F$17*$H$27*$H$20*K$203*W$204</f>
        <v>18674.831125314005</v>
      </c>
      <c r="X319" s="76">
        <f>X290</f>
        <v>17722.611619020008</v>
      </c>
      <c r="Y319" s="76">
        <f>Y290</f>
        <v>17722.611619020008</v>
      </c>
      <c r="Z319" s="77">
        <f>Z290*0.7</f>
        <v>12405.828133314006</v>
      </c>
    </row>
    <row r="320" spans="1:26" x14ac:dyDescent="0.25">
      <c r="A320" s="27"/>
      <c r="B320" s="56" t="s">
        <v>57</v>
      </c>
      <c r="C320" s="39"/>
      <c r="D320" s="39"/>
      <c r="E320" s="39"/>
      <c r="F320" s="109">
        <f t="shared" ref="F320:Z320" si="89">SUM(F318:F319)-SUM(F315:F317)</f>
        <v>2067.766330901286</v>
      </c>
      <c r="G320" s="109">
        <f t="shared" si="89"/>
        <v>-3846.9905591688148</v>
      </c>
      <c r="H320" s="109">
        <f t="shared" si="89"/>
        <v>-320.09155896484481</v>
      </c>
      <c r="I320" s="109">
        <f t="shared" si="89"/>
        <v>-49.07004415785741</v>
      </c>
      <c r="J320" s="109">
        <f t="shared" si="89"/>
        <v>3603.0814595140328</v>
      </c>
      <c r="K320" s="109">
        <f t="shared" si="89"/>
        <v>5629.2808975670741</v>
      </c>
      <c r="L320" s="109">
        <f t="shared" si="89"/>
        <v>7346.813142855317</v>
      </c>
      <c r="M320" s="109">
        <f t="shared" si="89"/>
        <v>8795.8470051371478</v>
      </c>
      <c r="N320" s="109">
        <f t="shared" si="89"/>
        <v>8744.0719564545961</v>
      </c>
      <c r="O320" s="109">
        <f t="shared" si="89"/>
        <v>6812.6494619515615</v>
      </c>
      <c r="P320" s="109">
        <f t="shared" si="89"/>
        <v>1358.2527251497286</v>
      </c>
      <c r="Q320" s="109">
        <f t="shared" si="89"/>
        <v>1613.0951068114682</v>
      </c>
      <c r="R320" s="109">
        <f t="shared" si="89"/>
        <v>739.16778353445989</v>
      </c>
      <c r="S320" s="109">
        <f t="shared" si="89"/>
        <v>3132.2909280022814</v>
      </c>
      <c r="T320" s="109">
        <f t="shared" si="89"/>
        <v>5153.7824607402054</v>
      </c>
      <c r="U320" s="109">
        <f t="shared" si="89"/>
        <v>6866.5597216601782</v>
      </c>
      <c r="V320" s="109">
        <f t="shared" si="89"/>
        <v>8310.7910497300581</v>
      </c>
      <c r="W320" s="109">
        <f t="shared" si="89"/>
        <v>8254.1654414934346</v>
      </c>
      <c r="X320" s="109">
        <f t="shared" si="89"/>
        <v>6317.8438818407885</v>
      </c>
      <c r="Y320" s="109">
        <f t="shared" si="89"/>
        <v>7080.1300988786115</v>
      </c>
      <c r="Z320" s="110">
        <f t="shared" si="89"/>
        <v>800.15766844604877</v>
      </c>
    </row>
    <row r="321" spans="1:26" x14ac:dyDescent="0.25">
      <c r="A321" s="27"/>
      <c r="B321" s="9"/>
      <c r="C321" s="2"/>
      <c r="D321" s="2"/>
      <c r="E321" s="2"/>
      <c r="F321" s="76"/>
      <c r="G321" s="76"/>
      <c r="H321" s="76"/>
      <c r="I321" s="76"/>
      <c r="J321" s="76"/>
      <c r="K321" s="76"/>
      <c r="L321" s="76"/>
      <c r="M321" s="76"/>
      <c r="N321" s="76"/>
      <c r="O321" s="76"/>
      <c r="P321" s="76"/>
      <c r="Q321" s="78"/>
      <c r="R321" s="78"/>
      <c r="S321" s="78"/>
      <c r="T321" s="78"/>
      <c r="U321" s="78"/>
      <c r="V321" s="78"/>
      <c r="W321" s="78"/>
      <c r="X321" s="78"/>
      <c r="Y321" s="78"/>
      <c r="Z321" s="75"/>
    </row>
    <row r="322" spans="1:26" x14ac:dyDescent="0.25">
      <c r="A322" s="27"/>
      <c r="B322" s="9" t="s">
        <v>201</v>
      </c>
      <c r="C322" s="2"/>
      <c r="D322" s="2"/>
      <c r="E322" s="2"/>
      <c r="F322" s="76"/>
      <c r="G322" s="76"/>
      <c r="H322" s="76"/>
      <c r="I322" s="76"/>
      <c r="J322" s="76"/>
      <c r="K322" s="76"/>
      <c r="L322" s="76"/>
      <c r="M322" s="76"/>
      <c r="N322" s="76"/>
      <c r="O322" s="76"/>
      <c r="P322" s="76"/>
      <c r="Q322" s="78"/>
      <c r="R322" s="78"/>
      <c r="S322" s="78"/>
      <c r="T322" s="78"/>
      <c r="U322" s="78"/>
      <c r="V322" s="78"/>
      <c r="W322" s="78"/>
      <c r="X322" s="78"/>
      <c r="Y322" s="78"/>
      <c r="Z322" s="79"/>
    </row>
    <row r="323" spans="1:26" x14ac:dyDescent="0.25">
      <c r="A323" s="27"/>
      <c r="B323" s="106" t="s">
        <v>60</v>
      </c>
      <c r="C323" s="2"/>
      <c r="D323" s="2"/>
      <c r="E323" s="2"/>
      <c r="F323" s="76">
        <f t="shared" ref="F323:Z323" si="90">F315-F307</f>
        <v>0</v>
      </c>
      <c r="G323" s="76">
        <f t="shared" si="90"/>
        <v>2235.6938483547929</v>
      </c>
      <c r="H323" s="76">
        <f t="shared" si="90"/>
        <v>2235.6938483547929</v>
      </c>
      <c r="I323" s="76">
        <f t="shared" si="90"/>
        <v>2235.6938483547929</v>
      </c>
      <c r="J323" s="76">
        <f t="shared" si="90"/>
        <v>2235.6938483547929</v>
      </c>
      <c r="K323" s="76">
        <f t="shared" si="90"/>
        <v>2235.6938483547929</v>
      </c>
      <c r="L323" s="76">
        <f t="shared" si="90"/>
        <v>2235.6938483547929</v>
      </c>
      <c r="M323" s="76">
        <f t="shared" si="90"/>
        <v>2235.6938483547929</v>
      </c>
      <c r="N323" s="76">
        <f t="shared" si="90"/>
        <v>2235.6938483547929</v>
      </c>
      <c r="O323" s="76">
        <f t="shared" si="90"/>
        <v>2235.6938483547929</v>
      </c>
      <c r="P323" s="76">
        <f t="shared" si="90"/>
        <v>2235.6938483547929</v>
      </c>
      <c r="Q323" s="76">
        <f t="shared" si="90"/>
        <v>2235.6938483547929</v>
      </c>
      <c r="R323" s="76">
        <f t="shared" si="90"/>
        <v>2235.6938483547929</v>
      </c>
      <c r="S323" s="76">
        <f t="shared" si="90"/>
        <v>2235.6938483547929</v>
      </c>
      <c r="T323" s="76">
        <f t="shared" si="90"/>
        <v>2235.6938483547929</v>
      </c>
      <c r="U323" s="76">
        <f t="shared" si="90"/>
        <v>2235.6938483547929</v>
      </c>
      <c r="V323" s="76">
        <f t="shared" si="90"/>
        <v>2235.6938483547929</v>
      </c>
      <c r="W323" s="76">
        <f t="shared" si="90"/>
        <v>2235.6938483547929</v>
      </c>
      <c r="X323" s="76">
        <f t="shared" si="90"/>
        <v>2235.6938483547929</v>
      </c>
      <c r="Y323" s="76">
        <f t="shared" si="90"/>
        <v>2235.6938483547929</v>
      </c>
      <c r="Z323" s="77">
        <f t="shared" si="90"/>
        <v>2235.6938483547929</v>
      </c>
    </row>
    <row r="324" spans="1:26" x14ac:dyDescent="0.25">
      <c r="A324" s="27"/>
      <c r="B324" s="9" t="s">
        <v>61</v>
      </c>
      <c r="C324" s="2"/>
      <c r="D324" s="2"/>
      <c r="E324" s="2"/>
      <c r="F324" s="76">
        <f t="shared" ref="F324:Z324" si="91">F316-F308</f>
        <v>0</v>
      </c>
      <c r="G324" s="76">
        <f t="shared" si="91"/>
        <v>1729.5708154506442</v>
      </c>
      <c r="H324" s="76">
        <f t="shared" si="91"/>
        <v>1746.8665236051502</v>
      </c>
      <c r="I324" s="76">
        <f t="shared" si="91"/>
        <v>1764.3351888412017</v>
      </c>
      <c r="J324" s="76">
        <f t="shared" si="91"/>
        <v>1781.9785407296135</v>
      </c>
      <c r="K324" s="76">
        <f t="shared" si="91"/>
        <v>1799.7983261369091</v>
      </c>
      <c r="L324" s="76">
        <f t="shared" si="91"/>
        <v>1817.796309398278</v>
      </c>
      <c r="M324" s="76">
        <f t="shared" si="91"/>
        <v>1835.9742724922612</v>
      </c>
      <c r="N324" s="76">
        <f t="shared" si="91"/>
        <v>1854.3340152171836</v>
      </c>
      <c r="O324" s="76">
        <f t="shared" si="91"/>
        <v>1872.8773553693563</v>
      </c>
      <c r="P324" s="76">
        <f t="shared" si="91"/>
        <v>1891.6061289230502</v>
      </c>
      <c r="Q324" s="76">
        <f t="shared" si="91"/>
        <v>1910.5221902122807</v>
      </c>
      <c r="R324" s="76">
        <f t="shared" si="91"/>
        <v>1929.6274121144024</v>
      </c>
      <c r="S324" s="76">
        <f t="shared" si="91"/>
        <v>1948.9236862355474</v>
      </c>
      <c r="T324" s="76">
        <f t="shared" si="91"/>
        <v>1968.4129230979024</v>
      </c>
      <c r="U324" s="76">
        <f t="shared" si="91"/>
        <v>1988.0970523288825</v>
      </c>
      <c r="V324" s="76">
        <f t="shared" si="91"/>
        <v>2007.9780228521709</v>
      </c>
      <c r="W324" s="76">
        <f t="shared" si="91"/>
        <v>2028.0578030806928</v>
      </c>
      <c r="X324" s="76">
        <f t="shared" si="91"/>
        <v>2048.3383811115009</v>
      </c>
      <c r="Y324" s="76">
        <f t="shared" si="91"/>
        <v>2068.821764922614</v>
      </c>
      <c r="Z324" s="77">
        <f t="shared" si="91"/>
        <v>2089.5099825718398</v>
      </c>
    </row>
    <row r="325" spans="1:26" x14ac:dyDescent="0.25">
      <c r="A325" s="27"/>
      <c r="B325" s="9" t="s">
        <v>262</v>
      </c>
      <c r="C325" s="2"/>
      <c r="D325" s="2"/>
      <c r="E325" s="2"/>
      <c r="F325" s="76">
        <f t="shared" ref="F325:Z325" si="92">F317-F309</f>
        <v>0</v>
      </c>
      <c r="G325" s="76">
        <f t="shared" si="92"/>
        <v>225.56824034334764</v>
      </c>
      <c r="H325" s="76">
        <f t="shared" si="92"/>
        <v>0</v>
      </c>
      <c r="I325" s="76">
        <f t="shared" si="92"/>
        <v>0</v>
      </c>
      <c r="J325" s="76">
        <f t="shared" si="92"/>
        <v>0</v>
      </c>
      <c r="K325" s="76">
        <f t="shared" si="92"/>
        <v>0</v>
      </c>
      <c r="L325" s="76">
        <f t="shared" si="92"/>
        <v>0</v>
      </c>
      <c r="M325" s="76">
        <f t="shared" si="92"/>
        <v>0</v>
      </c>
      <c r="N325" s="76">
        <f t="shared" si="92"/>
        <v>0</v>
      </c>
      <c r="O325" s="76">
        <f t="shared" si="92"/>
        <v>0</v>
      </c>
      <c r="P325" s="76">
        <f t="shared" si="92"/>
        <v>225.56824034334764</v>
      </c>
      <c r="Q325" s="76">
        <f t="shared" si="92"/>
        <v>0</v>
      </c>
      <c r="R325" s="76">
        <f t="shared" si="92"/>
        <v>0</v>
      </c>
      <c r="S325" s="76">
        <f t="shared" si="92"/>
        <v>0</v>
      </c>
      <c r="T325" s="76">
        <f t="shared" si="92"/>
        <v>0</v>
      </c>
      <c r="U325" s="76">
        <f t="shared" si="92"/>
        <v>0</v>
      </c>
      <c r="V325" s="76">
        <f t="shared" si="92"/>
        <v>0</v>
      </c>
      <c r="W325" s="76">
        <f t="shared" si="92"/>
        <v>0</v>
      </c>
      <c r="X325" s="76">
        <f t="shared" si="92"/>
        <v>0</v>
      </c>
      <c r="Y325" s="76">
        <f t="shared" si="92"/>
        <v>0</v>
      </c>
      <c r="Z325" s="77">
        <f t="shared" si="92"/>
        <v>225.56824034334764</v>
      </c>
    </row>
    <row r="326" spans="1:26" x14ac:dyDescent="0.25">
      <c r="A326" s="27"/>
      <c r="B326" s="9" t="s">
        <v>62</v>
      </c>
      <c r="C326" s="2"/>
      <c r="D326" s="2"/>
      <c r="E326" s="2"/>
      <c r="F326" s="76">
        <f t="shared" ref="F326:Z326" si="93">F318-F310</f>
        <v>0</v>
      </c>
      <c r="G326" s="76">
        <f t="shared" si="93"/>
        <v>236.96649900000011</v>
      </c>
      <c r="H326" s="76">
        <f t="shared" si="93"/>
        <v>-1219.0785423739999</v>
      </c>
      <c r="I326" s="76">
        <f t="shared" si="93"/>
        <v>-1104.0198976113995</v>
      </c>
      <c r="J326" s="76">
        <f t="shared" si="93"/>
        <v>-1148.3815215349398</v>
      </c>
      <c r="K326" s="76">
        <f t="shared" si="93"/>
        <v>-1274.0077371421396</v>
      </c>
      <c r="L326" s="76">
        <f t="shared" si="93"/>
        <v>-1358.1408902125395</v>
      </c>
      <c r="M326" s="76">
        <f t="shared" si="93"/>
        <v>-1289.5046514925393</v>
      </c>
      <c r="N326" s="76">
        <f t="shared" si="93"/>
        <v>-1289.5046514925393</v>
      </c>
      <c r="O326" s="76">
        <f t="shared" si="93"/>
        <v>-1396.3648405321994</v>
      </c>
      <c r="P326" s="76">
        <f t="shared" si="93"/>
        <v>-977.45538837253957</v>
      </c>
      <c r="Q326" s="76">
        <f t="shared" si="93"/>
        <v>-977.45538837253957</v>
      </c>
      <c r="R326" s="76">
        <f t="shared" si="93"/>
        <v>-977.45538837253957</v>
      </c>
      <c r="S326" s="76">
        <f t="shared" si="93"/>
        <v>-1148.3815215349398</v>
      </c>
      <c r="T326" s="76">
        <f t="shared" si="93"/>
        <v>-1274.0077371421396</v>
      </c>
      <c r="U326" s="76">
        <f t="shared" si="93"/>
        <v>-1358.1408902125395</v>
      </c>
      <c r="V326" s="76">
        <f t="shared" si="93"/>
        <v>-1289.5046514925393</v>
      </c>
      <c r="W326" s="76">
        <f t="shared" si="93"/>
        <v>-1289.5046514925393</v>
      </c>
      <c r="X326" s="76">
        <f t="shared" si="93"/>
        <v>-1396.3648405321994</v>
      </c>
      <c r="Y326" s="76">
        <f t="shared" si="93"/>
        <v>-1396.3648405321994</v>
      </c>
      <c r="Z326" s="77">
        <f t="shared" si="93"/>
        <v>-977.45538837253957</v>
      </c>
    </row>
    <row r="327" spans="1:26" x14ac:dyDescent="0.25">
      <c r="A327" s="27"/>
      <c r="B327" s="9" t="s">
        <v>63</v>
      </c>
      <c r="C327" s="2"/>
      <c r="D327" s="2"/>
      <c r="E327" s="2"/>
      <c r="F327" s="76">
        <f t="shared" ref="F327:Z327" si="94">F319-F311</f>
        <v>0</v>
      </c>
      <c r="G327" s="76">
        <f t="shared" si="94"/>
        <v>502.6562100000001</v>
      </c>
      <c r="H327" s="76">
        <f t="shared" si="94"/>
        <v>5226.1884234000008</v>
      </c>
      <c r="I327" s="76">
        <f t="shared" si="94"/>
        <v>6251.4634757400036</v>
      </c>
      <c r="J327" s="76">
        <f t="shared" si="94"/>
        <v>8131.643576154007</v>
      </c>
      <c r="K327" s="76">
        <f t="shared" si="94"/>
        <v>9287.6837506740048</v>
      </c>
      <c r="L327" s="76">
        <f t="shared" si="94"/>
        <v>10882.418077314003</v>
      </c>
      <c r="M327" s="76">
        <f t="shared" si="94"/>
        <v>11494.028125314006</v>
      </c>
      <c r="N327" s="76">
        <f t="shared" si="94"/>
        <v>11494.028125314006</v>
      </c>
      <c r="O327" s="76">
        <f t="shared" si="94"/>
        <v>10541.808619020008</v>
      </c>
      <c r="P327" s="76">
        <f t="shared" si="94"/>
        <v>7379.2660333140066</v>
      </c>
      <c r="Q327" s="76">
        <f t="shared" si="94"/>
        <v>7379.2660333140066</v>
      </c>
      <c r="R327" s="76">
        <f t="shared" si="94"/>
        <v>7379.2660333140066</v>
      </c>
      <c r="S327" s="76">
        <f t="shared" si="94"/>
        <v>8131.643576154007</v>
      </c>
      <c r="T327" s="76">
        <f t="shared" si="94"/>
        <v>9287.6837506740048</v>
      </c>
      <c r="U327" s="76">
        <f t="shared" si="94"/>
        <v>10882.418077314003</v>
      </c>
      <c r="V327" s="76">
        <f t="shared" si="94"/>
        <v>11494.028125314006</v>
      </c>
      <c r="W327" s="76">
        <f t="shared" si="94"/>
        <v>11494.028125314006</v>
      </c>
      <c r="X327" s="76">
        <f t="shared" si="94"/>
        <v>10541.808619020008</v>
      </c>
      <c r="Y327" s="76">
        <f t="shared" si="94"/>
        <v>10541.808619020008</v>
      </c>
      <c r="Z327" s="77">
        <f t="shared" si="94"/>
        <v>7379.2660333140066</v>
      </c>
    </row>
    <row r="328" spans="1:26" x14ac:dyDescent="0.25">
      <c r="A328" s="27"/>
      <c r="B328" s="56" t="s">
        <v>15</v>
      </c>
      <c r="C328" s="39"/>
      <c r="D328" s="39"/>
      <c r="E328" s="39"/>
      <c r="F328" s="109">
        <f t="shared" ref="F328:Z328" si="95">F320-F312</f>
        <v>0</v>
      </c>
      <c r="G328" s="109">
        <f t="shared" si="95"/>
        <v>-3451.2101951487839</v>
      </c>
      <c r="H328" s="109">
        <f t="shared" si="95"/>
        <v>24.549509066057908</v>
      </c>
      <c r="I328" s="109">
        <f t="shared" si="95"/>
        <v>1147.4145409326102</v>
      </c>
      <c r="J328" s="109">
        <f t="shared" si="95"/>
        <v>2965.5896655346605</v>
      </c>
      <c r="K328" s="109">
        <f t="shared" si="95"/>
        <v>3978.1838390401654</v>
      </c>
      <c r="L328" s="109">
        <f t="shared" si="95"/>
        <v>5470.7870293483957</v>
      </c>
      <c r="M328" s="109">
        <f t="shared" si="95"/>
        <v>6132.8553529744113</v>
      </c>
      <c r="N328" s="109">
        <f t="shared" si="95"/>
        <v>6114.4956102494889</v>
      </c>
      <c r="O328" s="109">
        <f t="shared" si="95"/>
        <v>5036.8725747636599</v>
      </c>
      <c r="P328" s="109">
        <f t="shared" si="95"/>
        <v>2048.9424273202776</v>
      </c>
      <c r="Q328" s="109">
        <f t="shared" si="95"/>
        <v>2255.5946063743941</v>
      </c>
      <c r="R328" s="109">
        <f t="shared" si="95"/>
        <v>2236.4893844722719</v>
      </c>
      <c r="S328" s="109">
        <f t="shared" si="95"/>
        <v>2798.6445200287262</v>
      </c>
      <c r="T328" s="109">
        <f t="shared" si="95"/>
        <v>3809.569242079172</v>
      </c>
      <c r="U328" s="109">
        <f t="shared" si="95"/>
        <v>5300.4862864177903</v>
      </c>
      <c r="V328" s="109">
        <f t="shared" si="95"/>
        <v>5960.8516026145026</v>
      </c>
      <c r="W328" s="109">
        <f t="shared" si="95"/>
        <v>5940.7718223859792</v>
      </c>
      <c r="X328" s="109">
        <f t="shared" si="95"/>
        <v>4861.4115490215136</v>
      </c>
      <c r="Y328" s="109">
        <f t="shared" si="95"/>
        <v>4840.9281652104019</v>
      </c>
      <c r="Z328" s="110">
        <f t="shared" si="95"/>
        <v>1851.038573671487</v>
      </c>
    </row>
    <row r="329" spans="1:26" x14ac:dyDescent="0.25">
      <c r="A329" s="27"/>
      <c r="B329" s="9"/>
      <c r="C329" s="2"/>
      <c r="D329" s="2"/>
      <c r="E329" s="2"/>
      <c r="F329" s="76"/>
      <c r="G329" s="76"/>
      <c r="H329" s="76"/>
      <c r="I329" s="76"/>
      <c r="J329" s="76"/>
      <c r="K329" s="76"/>
      <c r="L329" s="76"/>
      <c r="M329" s="76"/>
      <c r="N329" s="76"/>
      <c r="O329" s="76"/>
      <c r="P329" s="76"/>
      <c r="Q329" s="76"/>
      <c r="R329" s="76"/>
      <c r="S329" s="76"/>
      <c r="T329" s="76"/>
      <c r="U329" s="76"/>
      <c r="V329" s="76"/>
      <c r="W329" s="76"/>
      <c r="X329" s="76"/>
      <c r="Y329" s="76"/>
      <c r="Z329" s="77"/>
    </row>
    <row r="330" spans="1:26" x14ac:dyDescent="0.25">
      <c r="A330" s="27"/>
      <c r="B330" s="111" t="s">
        <v>66</v>
      </c>
      <c r="C330" s="272">
        <f>NPV($D$168,H328:AA328)+G328</f>
        <v>21530.629985986976</v>
      </c>
      <c r="D330" s="4"/>
      <c r="E330" s="2"/>
      <c r="F330" s="76"/>
      <c r="G330" s="76"/>
      <c r="H330" s="76"/>
      <c r="I330" s="76"/>
      <c r="J330" s="76"/>
      <c r="K330" s="76"/>
      <c r="L330" s="76"/>
      <c r="M330" s="76"/>
      <c r="N330" s="76"/>
      <c r="O330" s="76"/>
      <c r="P330" s="76"/>
      <c r="Q330" s="76"/>
      <c r="R330" s="76"/>
      <c r="S330" s="76"/>
      <c r="T330" s="76"/>
      <c r="U330" s="76"/>
      <c r="V330" s="76"/>
      <c r="W330" s="237"/>
      <c r="X330" s="76"/>
      <c r="Y330" s="76"/>
      <c r="Z330" s="77"/>
    </row>
    <row r="331" spans="1:26" ht="15.75" thickBot="1" x14ac:dyDescent="0.3">
      <c r="A331" s="27"/>
      <c r="B331" s="16"/>
      <c r="C331" s="12"/>
      <c r="D331" s="12"/>
      <c r="E331" s="12"/>
      <c r="F331" s="80"/>
      <c r="G331" s="80"/>
      <c r="H331" s="80"/>
      <c r="I331" s="80"/>
      <c r="J331" s="80"/>
      <c r="K331" s="80"/>
      <c r="L331" s="80"/>
      <c r="M331" s="80"/>
      <c r="N331" s="80"/>
      <c r="O331" s="80"/>
      <c r="P331" s="80"/>
      <c r="Q331" s="81"/>
      <c r="R331" s="81"/>
      <c r="S331" s="81"/>
      <c r="T331" s="81"/>
      <c r="U331" s="81"/>
      <c r="V331" s="81"/>
      <c r="W331" s="81"/>
      <c r="X331" s="81"/>
      <c r="Y331" s="81"/>
      <c r="Z331" s="82"/>
    </row>
    <row r="332" spans="1:26" ht="15.75" thickBot="1" x14ac:dyDescent="0.3">
      <c r="A332" s="2"/>
      <c r="B332" s="2"/>
      <c r="C332" s="2"/>
      <c r="D332" s="2"/>
      <c r="E332" s="2"/>
      <c r="F332" s="76"/>
      <c r="G332" s="76"/>
      <c r="H332" s="76"/>
      <c r="I332" s="76"/>
      <c r="J332" s="76"/>
      <c r="K332" s="76"/>
      <c r="L332" s="76"/>
      <c r="M332" s="76"/>
      <c r="N332" s="76"/>
      <c r="O332" s="76"/>
      <c r="P332" s="76"/>
      <c r="Q332" s="78"/>
      <c r="R332" s="78"/>
      <c r="S332" s="78"/>
      <c r="T332" s="78"/>
      <c r="U332" s="78"/>
      <c r="V332" s="78"/>
      <c r="W332" s="78"/>
      <c r="X332" s="78"/>
      <c r="Y332" s="78"/>
      <c r="Z332" s="78"/>
    </row>
    <row r="333" spans="1:26" ht="18.75" x14ac:dyDescent="0.3">
      <c r="A333" s="1"/>
      <c r="B333" s="48" t="s">
        <v>241</v>
      </c>
      <c r="C333" s="49"/>
      <c r="D333" s="49"/>
      <c r="E333" s="49"/>
      <c r="F333" s="49"/>
      <c r="G333" s="50"/>
      <c r="H333" s="50"/>
      <c r="I333" s="50"/>
      <c r="J333" s="50"/>
      <c r="K333" s="50"/>
      <c r="L333" s="50"/>
      <c r="M333" s="50"/>
      <c r="N333" s="50"/>
      <c r="O333" s="50"/>
      <c r="P333" s="50"/>
      <c r="Q333" s="50"/>
      <c r="R333" s="50"/>
      <c r="S333" s="50"/>
      <c r="T333" s="50"/>
      <c r="U333" s="50"/>
      <c r="V333" s="50"/>
      <c r="W333" s="50"/>
      <c r="X333" s="50"/>
      <c r="Y333" s="50"/>
      <c r="Z333" s="51"/>
    </row>
    <row r="334" spans="1:26" x14ac:dyDescent="0.25">
      <c r="B334" s="154"/>
      <c r="C334" s="155"/>
      <c r="D334" s="155"/>
      <c r="E334" s="215" t="s">
        <v>8</v>
      </c>
      <c r="F334" s="156">
        <v>0</v>
      </c>
      <c r="G334" s="144">
        <v>1</v>
      </c>
      <c r="H334" s="144">
        <v>2</v>
      </c>
      <c r="I334" s="144">
        <v>3</v>
      </c>
      <c r="J334" s="144">
        <v>4</v>
      </c>
      <c r="K334" s="144">
        <v>5</v>
      </c>
      <c r="L334" s="144">
        <v>6</v>
      </c>
      <c r="M334" s="144">
        <v>7</v>
      </c>
      <c r="N334" s="144">
        <v>8</v>
      </c>
      <c r="O334" s="144">
        <v>9</v>
      </c>
      <c r="P334" s="144">
        <v>10</v>
      </c>
      <c r="Q334" s="144">
        <v>11</v>
      </c>
      <c r="R334" s="144">
        <v>12</v>
      </c>
      <c r="S334" s="144">
        <v>13</v>
      </c>
      <c r="T334" s="144">
        <v>14</v>
      </c>
      <c r="U334" s="144">
        <v>15</v>
      </c>
      <c r="V334" s="144">
        <v>16</v>
      </c>
      <c r="W334" s="144">
        <v>17</v>
      </c>
      <c r="X334" s="144">
        <v>18</v>
      </c>
      <c r="Y334" s="144">
        <v>19</v>
      </c>
      <c r="Z334" s="145">
        <v>20</v>
      </c>
    </row>
    <row r="335" spans="1:26" x14ac:dyDescent="0.25">
      <c r="B335" s="10"/>
      <c r="C335" s="14"/>
      <c r="D335" s="2"/>
      <c r="E335" s="2"/>
      <c r="F335" s="2"/>
      <c r="G335" s="2"/>
      <c r="H335" s="2"/>
      <c r="I335" s="2"/>
      <c r="J335" s="2"/>
      <c r="K335" s="2"/>
      <c r="L335" s="2"/>
      <c r="M335" s="2"/>
      <c r="N335" s="2"/>
      <c r="O335" s="2"/>
      <c r="P335" s="2"/>
      <c r="Q335" s="2"/>
      <c r="R335" s="2"/>
      <c r="S335" s="2"/>
      <c r="T335" s="2"/>
      <c r="U335" s="2"/>
      <c r="V335" s="2"/>
      <c r="W335" s="2"/>
      <c r="X335" s="2"/>
      <c r="Y335" s="2"/>
      <c r="Z335" s="15"/>
    </row>
    <row r="336" spans="1:26" x14ac:dyDescent="0.25">
      <c r="B336" s="10" t="s">
        <v>202</v>
      </c>
      <c r="C336" s="14"/>
      <c r="D336" s="2"/>
      <c r="E336" s="2"/>
      <c r="F336" s="267">
        <f>F241*$H$9*(1-$H$11)*$H$8*$H$41</f>
        <v>0</v>
      </c>
      <c r="G336" s="267">
        <f>$H$35*G241*$H$9*(1-$H$11)*$H$8*$H$41</f>
        <v>-447978.46858851111</v>
      </c>
      <c r="H336" s="267">
        <f>$H$9*(1-$H$11)*$H$8*$H$41*($H$35*H241+($H$36-$H$35)*G241)</f>
        <v>-519843.79027916031</v>
      </c>
      <c r="I336" s="267">
        <f>$H$9*(1-$H$11)*$H$8*$H$41*($H$35*I241+($H$36-$H$35)*H241+($H$37-$H$36)*G241)</f>
        <v>-189814.96003588437</v>
      </c>
      <c r="J336" s="267">
        <f>$H$9*(1-$H$11)*$H$8*$H$41*($H$35*J241+($H$36-$H$35)*I241+($H$37-$H$36)*H241+($H$38-$H$37)*G241)</f>
        <v>744441.81241253309</v>
      </c>
      <c r="K336" s="267">
        <f t="shared" ref="K336:Z336" si="96">$H$9*(1-$H$11)*$H$8*$H$41*($H$35*K241+($H$36-$H$35)*J241+($H$37-$H$36)*I241+($H$38-$H$37)*H241+($H$39-$H$38)*G241)</f>
        <v>1130309.3426459036</v>
      </c>
      <c r="L336" s="267">
        <f t="shared" si="96"/>
        <v>1636887.3510155296</v>
      </c>
      <c r="M336" s="267">
        <f t="shared" si="96"/>
        <v>1736636.023073066</v>
      </c>
      <c r="N336" s="267">
        <f t="shared" si="96"/>
        <v>1784949.4176624282</v>
      </c>
      <c r="O336" s="267">
        <f t="shared" si="96"/>
        <v>1780079.8810107089</v>
      </c>
      <c r="P336" s="267">
        <f t="shared" si="96"/>
        <v>1775161.6489924723</v>
      </c>
      <c r="Q336" s="267">
        <f t="shared" si="96"/>
        <v>1770194.2346540529</v>
      </c>
      <c r="R336" s="267">
        <f t="shared" si="96"/>
        <v>1765177.1461722497</v>
      </c>
      <c r="S336" s="267">
        <f t="shared" si="96"/>
        <v>1760109.8868056289</v>
      </c>
      <c r="T336" s="267">
        <f t="shared" si="96"/>
        <v>1754991.9548453416</v>
      </c>
      <c r="U336" s="267">
        <f t="shared" si="96"/>
        <v>1749822.8435654514</v>
      </c>
      <c r="V336" s="267">
        <f t="shared" si="96"/>
        <v>1744602.0411727624</v>
      </c>
      <c r="W336" s="267">
        <f t="shared" si="96"/>
        <v>1739329.0307561462</v>
      </c>
      <c r="X336" s="267">
        <f t="shared" si="96"/>
        <v>1734003.2902353641</v>
      </c>
      <c r="Y336" s="267">
        <f t="shared" si="96"/>
        <v>1728624.2923093736</v>
      </c>
      <c r="Z336" s="268">
        <f t="shared" si="96"/>
        <v>1723191.5044041241</v>
      </c>
    </row>
    <row r="337" spans="2:26" x14ac:dyDescent="0.25">
      <c r="B337" s="10" t="s">
        <v>265</v>
      </c>
      <c r="C337" s="14"/>
      <c r="D337" s="2"/>
      <c r="E337" s="2"/>
      <c r="F337" s="267">
        <f>F271*$H$9*$H$11*$H$8*$H$41</f>
        <v>0</v>
      </c>
      <c r="G337" s="267">
        <f>$H$9*$H$11*$H$8*$H$41*($H$35*G271)</f>
        <v>-173079.20418710477</v>
      </c>
      <c r="H337" s="267">
        <f>$H$9*$H$11*$H$8*$H$41*($H$35*H271+($H$36-$H$35)*G271)</f>
        <v>-276976.6339907457</v>
      </c>
      <c r="I337" s="267">
        <f>$H$9*$H$11*$H$8*$H$41*($H$35*I271+($H$36-$H$35)*H271+($H$37-$H$36)*G271)</f>
        <v>-279343.23009514029</v>
      </c>
      <c r="J337" s="267">
        <f>$H$9*$H$11*$H$8*$H$41*($H$35*J271+($H$36-$H$35)*I271+($H$37-$H$36)*H271+($H$38-$H$37)*G271)</f>
        <v>-42952.979236573199</v>
      </c>
      <c r="K337" s="267">
        <f t="shared" ref="K337:Z337" si="97">$H$9*$H$11*$H$8*$H$41*($H$35*K271+($H$36-$H$35)*J271+($H$37-$H$36)*I271+($H$38-$H$37)*H271+($H$39-$H$38)*G271)</f>
        <v>93680.410333099193</v>
      </c>
      <c r="L337" s="267">
        <f t="shared" si="97"/>
        <v>337634.63476364186</v>
      </c>
      <c r="M337" s="267">
        <f t="shared" si="97"/>
        <v>464527.15923871845</v>
      </c>
      <c r="N337" s="267">
        <f t="shared" si="97"/>
        <v>550053.16271937545</v>
      </c>
      <c r="O337" s="267">
        <f t="shared" si="97"/>
        <v>578235.01775226183</v>
      </c>
      <c r="P337" s="267">
        <f t="shared" si="97"/>
        <v>486960.52234223398</v>
      </c>
      <c r="Q337" s="267">
        <f t="shared" si="97"/>
        <v>343954.4534039101</v>
      </c>
      <c r="R337" s="267">
        <f t="shared" si="97"/>
        <v>208826.71482980865</v>
      </c>
      <c r="S337" s="267">
        <f t="shared" si="97"/>
        <v>207802.46261366134</v>
      </c>
      <c r="T337" s="267">
        <f t="shared" si="97"/>
        <v>235011.81670537961</v>
      </c>
      <c r="U337" s="267">
        <f t="shared" si="97"/>
        <v>359514.10118629248</v>
      </c>
      <c r="V337" s="267">
        <f t="shared" si="97"/>
        <v>461869.02680459328</v>
      </c>
      <c r="W337" s="267">
        <f t="shared" si="97"/>
        <v>534846.36708394799</v>
      </c>
      <c r="X337" s="267">
        <f t="shared" si="97"/>
        <v>562876.15416048025</v>
      </c>
      <c r="Y337" s="267">
        <f t="shared" si="97"/>
        <v>576208.09743645787</v>
      </c>
      <c r="Z337" s="268">
        <f t="shared" si="97"/>
        <v>469637.14081278461</v>
      </c>
    </row>
    <row r="338" spans="2:26" hidden="1" x14ac:dyDescent="0.25">
      <c r="B338" s="10"/>
      <c r="C338" s="14"/>
      <c r="D338" s="2"/>
      <c r="E338" s="2"/>
      <c r="F338" s="267"/>
      <c r="G338" s="267">
        <f>SUM(G336:G337)</f>
        <v>-621057.67277561594</v>
      </c>
      <c r="H338" s="267">
        <f t="shared" ref="H338:Z338" si="98">SUM(H336:H337)</f>
        <v>-796820.42426990601</v>
      </c>
      <c r="I338" s="267">
        <f t="shared" si="98"/>
        <v>-469158.19013102469</v>
      </c>
      <c r="J338" s="267">
        <f t="shared" si="98"/>
        <v>701488.83317595988</v>
      </c>
      <c r="K338" s="267">
        <f t="shared" si="98"/>
        <v>1223989.7529790029</v>
      </c>
      <c r="L338" s="267">
        <f t="shared" si="98"/>
        <v>1974521.9857791713</v>
      </c>
      <c r="M338" s="267">
        <f t="shared" si="98"/>
        <v>2201163.1823117845</v>
      </c>
      <c r="N338" s="267">
        <f t="shared" si="98"/>
        <v>2335002.5803818037</v>
      </c>
      <c r="O338" s="267">
        <f t="shared" si="98"/>
        <v>2358314.8987629707</v>
      </c>
      <c r="P338" s="267">
        <f t="shared" si="98"/>
        <v>2262122.1713347062</v>
      </c>
      <c r="Q338" s="267">
        <f t="shared" si="98"/>
        <v>2114148.6880579628</v>
      </c>
      <c r="R338" s="267">
        <f t="shared" si="98"/>
        <v>1974003.8610020583</v>
      </c>
      <c r="S338" s="267">
        <f t="shared" si="98"/>
        <v>1967912.3494192902</v>
      </c>
      <c r="T338" s="267">
        <f t="shared" si="98"/>
        <v>1990003.7715507213</v>
      </c>
      <c r="U338" s="267">
        <f t="shared" si="98"/>
        <v>2109336.9447517442</v>
      </c>
      <c r="V338" s="267">
        <f t="shared" si="98"/>
        <v>2206471.0679773558</v>
      </c>
      <c r="W338" s="267">
        <f t="shared" si="98"/>
        <v>2274175.3978400943</v>
      </c>
      <c r="X338" s="267">
        <f t="shared" si="98"/>
        <v>2296879.4443958444</v>
      </c>
      <c r="Y338" s="267">
        <f t="shared" si="98"/>
        <v>2304832.3897458315</v>
      </c>
      <c r="Z338" s="268">
        <f t="shared" si="98"/>
        <v>2192828.6452169088</v>
      </c>
    </row>
    <row r="339" spans="2:26" x14ac:dyDescent="0.25">
      <c r="B339" s="10" t="s">
        <v>203</v>
      </c>
      <c r="C339" s="14"/>
      <c r="D339" s="2"/>
      <c r="E339" s="2"/>
      <c r="F339" s="267">
        <f>F298*$H$10*(1-$H$11)*$H$8*$H$41</f>
        <v>0</v>
      </c>
      <c r="G339" s="267">
        <f>$H$10*(1-$H$11)*$H$8*$H$41*($H$35*G298)</f>
        <v>-1832456.3000974252</v>
      </c>
      <c r="H339" s="267">
        <f>$H$10*(1-$H$11)*$H$8*$H$41*($H$35*H298+($H$36-$H$35)*G298)</f>
        <v>-1651298.5915575002</v>
      </c>
      <c r="I339" s="267">
        <f>$H$10*(1-$H$11)*$H$8*$H$41*($H$35*I298+($H$36-$H$35)*H298+($H$37-$H$36)*G298)</f>
        <v>1010075.2646190852</v>
      </c>
      <c r="J339" s="267">
        <f>$H$10*(1-$H$11)*$H$8*$H$41*($H$35*J298+($H$36-$H$35)*I298+($H$37-$H$36)*H298+($H$38-$H$37)*G298)</f>
        <v>7129368.0034817867</v>
      </c>
      <c r="K339" s="267">
        <f t="shared" ref="K339:Z339" si="99">$H$10*(1-$H$11)*$H$8*$H$41*($H$35*K298+($H$36-$H$35)*J298+($H$37-$H$36)*I298+($H$38-$H$37)*H298+($H$39-$H$38)*G298)</f>
        <v>10866499.643072769</v>
      </c>
      <c r="L339" s="267">
        <f t="shared" si="99"/>
        <v>14487612.402560871</v>
      </c>
      <c r="M339" s="267">
        <f t="shared" si="99"/>
        <v>15508867.552787527</v>
      </c>
      <c r="N339" s="267">
        <f t="shared" si="99"/>
        <v>16016408.937382659</v>
      </c>
      <c r="O339" s="267">
        <f t="shared" si="99"/>
        <v>15958915.903957296</v>
      </c>
      <c r="P339" s="267">
        <f t="shared" si="99"/>
        <v>15900847.94019768</v>
      </c>
      <c r="Q339" s="267">
        <f t="shared" si="99"/>
        <v>15842199.296800464</v>
      </c>
      <c r="R339" s="267">
        <f t="shared" si="99"/>
        <v>15782964.166969275</v>
      </c>
      <c r="S339" s="267">
        <f t="shared" si="99"/>
        <v>15723136.685839778</v>
      </c>
      <c r="T339" s="267">
        <f t="shared" si="99"/>
        <v>15662710.929898985</v>
      </c>
      <c r="U339" s="267">
        <f t="shared" si="99"/>
        <v>15601680.916398786</v>
      </c>
      <c r="V339" s="267">
        <f t="shared" si="99"/>
        <v>15540040.602763582</v>
      </c>
      <c r="W339" s="267">
        <f t="shared" si="99"/>
        <v>15477783.885992028</v>
      </c>
      <c r="X339" s="267">
        <f t="shared" si="99"/>
        <v>15414904.602052759</v>
      </c>
      <c r="Y339" s="267">
        <f t="shared" si="99"/>
        <v>15351396.525274098</v>
      </c>
      <c r="Z339" s="268">
        <f t="shared" si="99"/>
        <v>15287253.367727648</v>
      </c>
    </row>
    <row r="340" spans="2:26" x14ac:dyDescent="0.25">
      <c r="B340" s="10" t="s">
        <v>266</v>
      </c>
      <c r="C340" s="14"/>
      <c r="D340" s="2"/>
      <c r="E340" s="2"/>
      <c r="F340" s="267">
        <f>F328*$H$10*$H$11*$H$8*$H$41</f>
        <v>0</v>
      </c>
      <c r="G340" s="267">
        <f>$H$10*$H$11*$H$8*$H$41*($H$35*G328)</f>
        <v>-724754.14098124462</v>
      </c>
      <c r="H340" s="267">
        <f>$H$10*$H$11*$H$8*$H$41*($H$35*H328+($H$36-$H$35)*G328)</f>
        <v>-1081975.8145679948</v>
      </c>
      <c r="I340" s="267">
        <f>$H$10*$H$11*$H$8*$H$41*($H$35*I328+($H$36-$H$35)*H328+($H$37-$H$36)*G328)</f>
        <v>-838441.06252021075</v>
      </c>
      <c r="J340" s="267">
        <f>$H$10*$H$11*$H$8*$H$41*($H$35*J328+($H$36-$H$35)*I328+($H$37-$H$36)*H328+($H$38-$H$37)*G328)</f>
        <v>629565.435021237</v>
      </c>
      <c r="K340" s="267">
        <f>$H$10*$H$11*$H$8*$H$41*($H$35*K328+($H$36-$H$35)*J328+($H$37-$H$36)*I328+($H$38-$H$37)*H328+($H$39-$H$38)*G328)</f>
        <v>1771215.5591969388</v>
      </c>
      <c r="L340" s="267">
        <f t="shared" ref="L340:Z340" si="100">$H$10*$H$11*$H$8*$H$41*($H$35*L328+($H$36-$H$35)*K328+($H$37-$H$36)*J328+($H$38-$H$37)*I328+($H$39-$H$38)*H328)</f>
        <v>3459210.1553540933</v>
      </c>
      <c r="M340" s="267">
        <f t="shared" si="100"/>
        <v>4696190.8893460864</v>
      </c>
      <c r="N340" s="267">
        <f t="shared" si="100"/>
        <v>5668287.6465644343</v>
      </c>
      <c r="O340" s="267">
        <f t="shared" si="100"/>
        <v>5907800.7352966964</v>
      </c>
      <c r="P340" s="267">
        <f t="shared" si="100"/>
        <v>5161341.338160295</v>
      </c>
      <c r="Q340" s="267">
        <f t="shared" si="100"/>
        <v>3991678.4441335727</v>
      </c>
      <c r="R340" s="267">
        <f t="shared" si="100"/>
        <v>2996485.5957793794</v>
      </c>
      <c r="S340" s="267">
        <f t="shared" si="100"/>
        <v>2746732.381541546</v>
      </c>
      <c r="T340" s="267">
        <f t="shared" si="100"/>
        <v>2838053.109292381</v>
      </c>
      <c r="U340" s="267">
        <f t="shared" si="100"/>
        <v>3666358.2742506238</v>
      </c>
      <c r="V340" s="267">
        <f t="shared" si="100"/>
        <v>4650135.3879981935</v>
      </c>
      <c r="W340" s="267">
        <f t="shared" si="100"/>
        <v>5488745.9627675582</v>
      </c>
      <c r="X340" s="267">
        <f t="shared" si="100"/>
        <v>5726463.6346618505</v>
      </c>
      <c r="Y340" s="267">
        <f t="shared" si="100"/>
        <v>5601723.1550359363</v>
      </c>
      <c r="Z340" s="268">
        <f t="shared" si="100"/>
        <v>4694625.5700791162</v>
      </c>
    </row>
    <row r="341" spans="2:26" hidden="1" x14ac:dyDescent="0.25">
      <c r="B341" s="10"/>
      <c r="C341" s="14"/>
      <c r="D341" s="2"/>
      <c r="E341" s="2"/>
      <c r="F341" s="267"/>
      <c r="G341" s="267">
        <f>SUM(G339:G340)</f>
        <v>-2557210.4410786699</v>
      </c>
      <c r="H341" s="267">
        <f t="shared" ref="H341:Z341" si="101">SUM(H339:H340)</f>
        <v>-2733274.4061254952</v>
      </c>
      <c r="I341" s="267">
        <f t="shared" si="101"/>
        <v>171634.20209887449</v>
      </c>
      <c r="J341" s="267">
        <f t="shared" si="101"/>
        <v>7758933.4385030232</v>
      </c>
      <c r="K341" s="267">
        <f t="shared" si="101"/>
        <v>12637715.202269707</v>
      </c>
      <c r="L341" s="267">
        <f t="shared" si="101"/>
        <v>17946822.557914965</v>
      </c>
      <c r="M341" s="267">
        <f t="shared" si="101"/>
        <v>20205058.442133613</v>
      </c>
      <c r="N341" s="267">
        <f t="shared" si="101"/>
        <v>21684696.583947092</v>
      </c>
      <c r="O341" s="267">
        <f t="shared" si="101"/>
        <v>21866716.639253993</v>
      </c>
      <c r="P341" s="267">
        <f t="shared" si="101"/>
        <v>21062189.278357975</v>
      </c>
      <c r="Q341" s="267">
        <f t="shared" si="101"/>
        <v>19833877.740934037</v>
      </c>
      <c r="R341" s="267">
        <f t="shared" si="101"/>
        <v>18779449.762748655</v>
      </c>
      <c r="S341" s="267">
        <f t="shared" si="101"/>
        <v>18469869.067381322</v>
      </c>
      <c r="T341" s="267">
        <f t="shared" si="101"/>
        <v>18500764.039191365</v>
      </c>
      <c r="U341" s="267">
        <f t="shared" si="101"/>
        <v>19268039.190649409</v>
      </c>
      <c r="V341" s="267">
        <f t="shared" si="101"/>
        <v>20190175.990761776</v>
      </c>
      <c r="W341" s="267">
        <f t="shared" si="101"/>
        <v>20966529.848759584</v>
      </c>
      <c r="X341" s="267">
        <f t="shared" si="101"/>
        <v>21141368.236714609</v>
      </c>
      <c r="Y341" s="267">
        <f t="shared" si="101"/>
        <v>20953119.680310033</v>
      </c>
      <c r="Z341" s="268">
        <f t="shared" si="101"/>
        <v>19981878.937806763</v>
      </c>
    </row>
    <row r="342" spans="2:26" x14ac:dyDescent="0.25">
      <c r="B342" s="274" t="s">
        <v>204</v>
      </c>
      <c r="C342" s="275"/>
      <c r="D342" s="39"/>
      <c r="E342" s="39"/>
      <c r="F342" s="276">
        <f>SUM(F336:F340)</f>
        <v>0</v>
      </c>
      <c r="G342" s="276">
        <f>SUM(G336:G340)-G338</f>
        <v>-3178268.1138542863</v>
      </c>
      <c r="H342" s="276">
        <f t="shared" ref="H342:Z342" si="102">SUM(H336:H340)-H338</f>
        <v>-3530094.8303954015</v>
      </c>
      <c r="I342" s="276">
        <f t="shared" si="102"/>
        <v>-297523.9880321502</v>
      </c>
      <c r="J342" s="276">
        <f t="shared" si="102"/>
        <v>8460422.2716789842</v>
      </c>
      <c r="K342" s="276">
        <f t="shared" si="102"/>
        <v>13861704.95524871</v>
      </c>
      <c r="L342" s="276">
        <f t="shared" si="102"/>
        <v>19921344.543694139</v>
      </c>
      <c r="M342" s="276">
        <f t="shared" si="102"/>
        <v>22406221.624445397</v>
      </c>
      <c r="N342" s="276">
        <f t="shared" si="102"/>
        <v>24019699.164328899</v>
      </c>
      <c r="O342" s="276">
        <f t="shared" si="102"/>
        <v>24225031.538016964</v>
      </c>
      <c r="P342" s="276">
        <f t="shared" si="102"/>
        <v>23324311.449692681</v>
      </c>
      <c r="Q342" s="276">
        <f t="shared" si="102"/>
        <v>21948026.428991999</v>
      </c>
      <c r="R342" s="276">
        <f t="shared" si="102"/>
        <v>20753453.623750713</v>
      </c>
      <c r="S342" s="276">
        <f t="shared" si="102"/>
        <v>20437781.416800611</v>
      </c>
      <c r="T342" s="276">
        <f t="shared" si="102"/>
        <v>20490767.810742084</v>
      </c>
      <c r="U342" s="276">
        <f t="shared" si="102"/>
        <v>21377376.135401152</v>
      </c>
      <c r="V342" s="276">
        <f t="shared" si="102"/>
        <v>22396647.058739133</v>
      </c>
      <c r="W342" s="276">
        <f t="shared" si="102"/>
        <v>23240705.246599678</v>
      </c>
      <c r="X342" s="276">
        <f t="shared" si="102"/>
        <v>23438247.681110453</v>
      </c>
      <c r="Y342" s="276">
        <f t="shared" si="102"/>
        <v>23257952.070055865</v>
      </c>
      <c r="Z342" s="354">
        <f t="shared" si="102"/>
        <v>22174707.583023671</v>
      </c>
    </row>
    <row r="343" spans="2:26" x14ac:dyDescent="0.25">
      <c r="B343" s="10"/>
      <c r="C343" s="14"/>
      <c r="D343" s="2"/>
      <c r="E343" s="2"/>
      <c r="F343" s="2"/>
      <c r="G343" s="2"/>
      <c r="H343" s="2"/>
      <c r="I343" s="2"/>
      <c r="J343" s="2"/>
      <c r="K343" s="2"/>
      <c r="L343" s="2"/>
      <c r="M343" s="2"/>
      <c r="N343" s="2"/>
      <c r="O343" s="2"/>
      <c r="P343" s="2"/>
      <c r="Q343" s="2"/>
      <c r="R343" s="2"/>
      <c r="S343" s="2"/>
      <c r="T343" s="2"/>
      <c r="U343" s="2"/>
      <c r="V343" s="2"/>
      <c r="W343" s="2"/>
      <c r="X343" s="2"/>
      <c r="Y343" s="2"/>
      <c r="Z343" s="15"/>
    </row>
    <row r="344" spans="2:26" x14ac:dyDescent="0.25">
      <c r="B344" s="111" t="s">
        <v>242</v>
      </c>
      <c r="C344" s="307"/>
      <c r="D344" s="309">
        <f>NPV($D$168, H338:Z338)+G338</f>
        <v>8934590.3756978475</v>
      </c>
      <c r="F344" s="306"/>
      <c r="G344" s="2"/>
      <c r="H344" s="2"/>
      <c r="I344" s="2"/>
      <c r="J344" s="2"/>
      <c r="K344" s="2"/>
      <c r="L344" s="2"/>
      <c r="M344" s="2"/>
      <c r="N344" s="2"/>
      <c r="O344" s="2"/>
      <c r="P344" s="2"/>
      <c r="Q344" s="2"/>
      <c r="R344" s="2"/>
      <c r="S344" s="2"/>
      <c r="T344" s="2"/>
      <c r="U344" s="2"/>
      <c r="V344" s="2"/>
      <c r="W344" s="2"/>
      <c r="X344" s="2"/>
      <c r="Y344" s="2"/>
      <c r="Z344" s="15"/>
    </row>
    <row r="345" spans="2:26" x14ac:dyDescent="0.25">
      <c r="B345" s="111" t="s">
        <v>243</v>
      </c>
      <c r="C345" s="307"/>
      <c r="D345" s="309">
        <f>NPV($D$168, H341:Z341)+G341</f>
        <v>95289805.024253875</v>
      </c>
      <c r="F345" s="306"/>
      <c r="G345" s="2"/>
      <c r="H345" s="2"/>
      <c r="I345" s="2"/>
      <c r="J345" s="2"/>
      <c r="K345" s="2"/>
      <c r="L345" s="2"/>
      <c r="M345" s="2"/>
      <c r="N345" s="2"/>
      <c r="O345" s="2"/>
      <c r="P345" s="2"/>
      <c r="Q345" s="2"/>
      <c r="R345" s="2"/>
      <c r="S345" s="2"/>
      <c r="T345" s="2"/>
      <c r="U345" s="2"/>
      <c r="V345" s="2"/>
      <c r="W345" s="2"/>
      <c r="X345" s="2"/>
      <c r="Y345" s="2"/>
      <c r="Z345" s="15"/>
    </row>
    <row r="346" spans="2:26" x14ac:dyDescent="0.25">
      <c r="B346" s="10"/>
      <c r="C346" s="14"/>
      <c r="D346" s="2"/>
      <c r="E346" s="2"/>
      <c r="F346" s="2"/>
      <c r="G346" s="2"/>
      <c r="H346" s="2"/>
      <c r="I346" s="2"/>
      <c r="J346" s="2"/>
      <c r="K346" s="2"/>
      <c r="L346" s="2"/>
      <c r="M346" s="2"/>
      <c r="N346" s="2"/>
      <c r="O346" s="2"/>
      <c r="P346" s="2"/>
      <c r="Q346" s="2"/>
      <c r="R346" s="2"/>
      <c r="S346" s="2"/>
      <c r="T346" s="2"/>
      <c r="U346" s="2"/>
      <c r="V346" s="2"/>
      <c r="W346" s="2"/>
      <c r="X346" s="2"/>
      <c r="Y346" s="2"/>
      <c r="Z346" s="15"/>
    </row>
    <row r="347" spans="2:26" ht="27.75" customHeight="1" x14ac:dyDescent="0.25">
      <c r="B347" s="371" t="s">
        <v>279</v>
      </c>
      <c r="C347" s="365"/>
      <c r="D347" s="213">
        <v>0.5</v>
      </c>
      <c r="E347" s="2"/>
      <c r="F347" s="2"/>
      <c r="G347" s="2"/>
      <c r="H347" s="2"/>
      <c r="I347" s="2"/>
      <c r="J347" s="2"/>
      <c r="K347" s="2"/>
      <c r="L347" s="2"/>
      <c r="M347" s="2"/>
      <c r="N347" s="2"/>
      <c r="O347" s="2"/>
      <c r="P347" s="2"/>
      <c r="Q347" s="2"/>
      <c r="R347" s="2"/>
      <c r="S347" s="2"/>
      <c r="T347" s="2"/>
      <c r="U347" s="2"/>
      <c r="V347" s="2"/>
      <c r="W347" s="2"/>
      <c r="X347" s="2"/>
      <c r="Y347" s="2"/>
      <c r="Z347" s="15"/>
    </row>
    <row r="348" spans="2:26" x14ac:dyDescent="0.25">
      <c r="B348" s="10"/>
      <c r="C348" s="14"/>
      <c r="D348" s="2"/>
      <c r="E348" s="2"/>
      <c r="F348" s="2"/>
      <c r="G348" s="2"/>
      <c r="H348" s="2"/>
      <c r="I348" s="2"/>
      <c r="J348" s="2"/>
      <c r="K348" s="2"/>
      <c r="L348" s="2"/>
      <c r="M348" s="2"/>
      <c r="N348" s="2"/>
      <c r="O348" s="2"/>
      <c r="P348" s="2"/>
      <c r="Q348" s="2"/>
      <c r="R348" s="2"/>
      <c r="S348" s="2"/>
      <c r="T348" s="2"/>
      <c r="U348" s="2"/>
      <c r="V348" s="2"/>
      <c r="W348" s="2"/>
      <c r="X348" s="2"/>
      <c r="Y348" s="2"/>
      <c r="Z348" s="15"/>
    </row>
    <row r="349" spans="2:26" x14ac:dyDescent="0.25">
      <c r="B349" s="56" t="s">
        <v>72</v>
      </c>
      <c r="C349" s="277"/>
      <c r="D349" s="277"/>
      <c r="E349" s="277"/>
      <c r="F349" s="39"/>
      <c r="G349" s="277">
        <f>F187*D347*$D$171/F208</f>
        <v>23111539.439999998</v>
      </c>
      <c r="H349" s="277">
        <f>G187*D347*$D$171/G208</f>
        <v>21218135.259803921</v>
      </c>
      <c r="I349" s="277">
        <f>H187*D347*$D$171/H208</f>
        <v>21158306.41099577</v>
      </c>
      <c r="J349" s="277">
        <f>I187*D347*$D$171/I208</f>
        <v>19001148.125532411</v>
      </c>
      <c r="K349" s="277">
        <f>J187*D347*$D$171/J208</f>
        <v>18122381.115320887</v>
      </c>
      <c r="L349" s="63"/>
      <c r="M349" s="63"/>
      <c r="N349" s="63"/>
      <c r="O349" s="63"/>
      <c r="P349" s="63"/>
      <c r="Q349" s="63"/>
      <c r="R349" s="63"/>
      <c r="S349" s="63"/>
      <c r="T349" s="63"/>
      <c r="U349" s="63"/>
      <c r="V349" s="63"/>
      <c r="W349" s="63"/>
      <c r="X349" s="63"/>
      <c r="Y349" s="63"/>
      <c r="Z349" s="118"/>
    </row>
    <row r="350" spans="2:26" x14ac:dyDescent="0.25">
      <c r="B350" s="9"/>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118"/>
    </row>
    <row r="351" spans="2:26" x14ac:dyDescent="0.25">
      <c r="B351" s="10" t="s">
        <v>176</v>
      </c>
      <c r="C351" s="63"/>
      <c r="D351" s="63"/>
      <c r="E351" s="63"/>
      <c r="F351" s="63">
        <f>F342-F349</f>
        <v>0</v>
      </c>
      <c r="G351" s="63">
        <f t="shared" ref="G351:Z351" si="103">G342-G349</f>
        <v>-26289807.553854283</v>
      </c>
      <c r="H351" s="63">
        <f t="shared" si="103"/>
        <v>-24748230.090199322</v>
      </c>
      <c r="I351" s="63">
        <f t="shared" si="103"/>
        <v>-21455830.399027921</v>
      </c>
      <c r="J351" s="63">
        <f t="shared" si="103"/>
        <v>-10540725.853853427</v>
      </c>
      <c r="K351" s="63">
        <f t="shared" si="103"/>
        <v>-4260676.1600721776</v>
      </c>
      <c r="L351" s="63">
        <f t="shared" si="103"/>
        <v>19921344.543694139</v>
      </c>
      <c r="M351" s="63">
        <f t="shared" si="103"/>
        <v>22406221.624445397</v>
      </c>
      <c r="N351" s="63">
        <f t="shared" si="103"/>
        <v>24019699.164328899</v>
      </c>
      <c r="O351" s="63">
        <f t="shared" si="103"/>
        <v>24225031.538016964</v>
      </c>
      <c r="P351" s="63">
        <f t="shared" si="103"/>
        <v>23324311.449692681</v>
      </c>
      <c r="Q351" s="63">
        <f t="shared" si="103"/>
        <v>21948026.428991999</v>
      </c>
      <c r="R351" s="63">
        <f t="shared" si="103"/>
        <v>20753453.623750713</v>
      </c>
      <c r="S351" s="63">
        <f t="shared" si="103"/>
        <v>20437781.416800611</v>
      </c>
      <c r="T351" s="63">
        <f t="shared" si="103"/>
        <v>20490767.810742084</v>
      </c>
      <c r="U351" s="63">
        <f t="shared" si="103"/>
        <v>21377376.135401152</v>
      </c>
      <c r="V351" s="63">
        <f t="shared" si="103"/>
        <v>22396647.058739133</v>
      </c>
      <c r="W351" s="63">
        <f t="shared" si="103"/>
        <v>23240705.246599678</v>
      </c>
      <c r="X351" s="63">
        <f t="shared" si="103"/>
        <v>23438247.681110453</v>
      </c>
      <c r="Y351" s="63">
        <f t="shared" si="103"/>
        <v>23257952.070055865</v>
      </c>
      <c r="Z351" s="118">
        <f t="shared" si="103"/>
        <v>22174707.583023671</v>
      </c>
    </row>
    <row r="352" spans="2:26" x14ac:dyDescent="0.25">
      <c r="B352" s="10"/>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118"/>
    </row>
    <row r="353" spans="1:26" x14ac:dyDescent="0.25">
      <c r="B353" s="30" t="s">
        <v>205</v>
      </c>
      <c r="C353" s="112"/>
      <c r="D353" s="273">
        <f>NPV($D$168,H351:AA351)+G351</f>
        <v>20259077.260872949</v>
      </c>
      <c r="E353" s="68"/>
      <c r="F353" s="63"/>
      <c r="G353" s="63"/>
      <c r="H353" s="63"/>
      <c r="I353" s="63"/>
      <c r="J353" s="63"/>
      <c r="K353" s="63"/>
      <c r="L353" s="63"/>
      <c r="M353" s="63"/>
      <c r="N353" s="63"/>
      <c r="O353" s="63"/>
      <c r="P353" s="63"/>
      <c r="Q353" s="63"/>
      <c r="R353" s="63"/>
      <c r="S353" s="63"/>
      <c r="T353" s="63"/>
      <c r="U353" s="63"/>
      <c r="V353" s="63"/>
      <c r="W353" s="63"/>
      <c r="X353" s="63"/>
      <c r="Y353" s="63"/>
      <c r="Z353" s="118"/>
    </row>
    <row r="354" spans="1:26" ht="15.75" thickBot="1" x14ac:dyDescent="0.3">
      <c r="B354" s="31" t="s">
        <v>1</v>
      </c>
      <c r="C354" s="270"/>
      <c r="D354" s="269">
        <f>IRR(F351:Z351)</f>
        <v>0.15125768961373764</v>
      </c>
      <c r="E354" s="34"/>
      <c r="F354" s="12"/>
      <c r="G354" s="12"/>
      <c r="H354" s="34"/>
      <c r="I354" s="22"/>
      <c r="J354" s="22"/>
      <c r="K354" s="22"/>
      <c r="L354" s="33"/>
      <c r="M354" s="12"/>
      <c r="N354" s="35"/>
      <c r="O354" s="36"/>
      <c r="P354" s="12"/>
      <c r="Q354" s="12"/>
      <c r="R354" s="12"/>
      <c r="S354" s="12"/>
      <c r="T354" s="12"/>
      <c r="U354" s="12"/>
      <c r="V354" s="12"/>
      <c r="W354" s="12"/>
      <c r="X354" s="12"/>
      <c r="Y354" s="12"/>
      <c r="Z354" s="13"/>
    </row>
    <row r="356" spans="1:26" ht="24.75" customHeight="1" x14ac:dyDescent="0.4">
      <c r="B356" s="150" t="s">
        <v>194</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15" customHeight="1" thickBot="1" x14ac:dyDescent="0.3"/>
    <row r="358" spans="1:26" x14ac:dyDescent="0.25">
      <c r="A358" s="2"/>
      <c r="B358" s="126" t="s">
        <v>271</v>
      </c>
      <c r="C358" s="127"/>
      <c r="D358" s="127"/>
      <c r="E358" s="127"/>
      <c r="F358" s="140" t="s">
        <v>17</v>
      </c>
      <c r="G358" s="139"/>
      <c r="H358" s="140" t="s">
        <v>18</v>
      </c>
      <c r="I358" s="141"/>
      <c r="M358" s="19"/>
      <c r="N358" s="23"/>
    </row>
    <row r="359" spans="1:26" x14ac:dyDescent="0.25">
      <c r="A359" s="2"/>
      <c r="B359" s="9" t="s">
        <v>19</v>
      </c>
      <c r="C359" s="120"/>
      <c r="D359" s="120"/>
      <c r="E359" s="120"/>
      <c r="F359" s="220">
        <f>F120*D173</f>
        <v>193.47281831187414</v>
      </c>
      <c r="G359" s="280" t="s">
        <v>54</v>
      </c>
      <c r="H359" s="220">
        <f>H120*D173</f>
        <v>386.94563662374827</v>
      </c>
      <c r="I359" s="54" t="s">
        <v>54</v>
      </c>
      <c r="M359" s="19"/>
      <c r="N359" s="23"/>
    </row>
    <row r="360" spans="1:26" x14ac:dyDescent="0.25">
      <c r="A360" s="2"/>
      <c r="B360" s="9" t="s">
        <v>33</v>
      </c>
      <c r="C360" s="2"/>
      <c r="D360" s="2"/>
      <c r="E360" s="2"/>
      <c r="F360" s="221"/>
      <c r="G360" s="280"/>
      <c r="H360" s="221"/>
      <c r="I360" s="54"/>
      <c r="M360" s="19"/>
      <c r="N360" s="23"/>
    </row>
    <row r="361" spans="1:26" x14ac:dyDescent="0.25">
      <c r="A361" s="2"/>
      <c r="B361" s="40" t="s">
        <v>34</v>
      </c>
      <c r="C361" s="2"/>
      <c r="D361" s="2"/>
      <c r="E361" s="2"/>
      <c r="F361" s="221">
        <f>F122</f>
        <v>0</v>
      </c>
      <c r="G361" s="280" t="s">
        <v>54</v>
      </c>
      <c r="H361" s="221">
        <f>H122</f>
        <v>0</v>
      </c>
      <c r="I361" s="54" t="s">
        <v>54</v>
      </c>
      <c r="M361" s="19"/>
      <c r="N361" s="23"/>
    </row>
    <row r="362" spans="1:26" x14ac:dyDescent="0.25">
      <c r="A362" s="2"/>
      <c r="B362" s="40" t="s">
        <v>38</v>
      </c>
      <c r="C362" s="2"/>
      <c r="D362" s="2"/>
      <c r="E362" s="2"/>
      <c r="F362" s="221">
        <f>F123</f>
        <v>0</v>
      </c>
      <c r="G362" s="280" t="s">
        <v>54</v>
      </c>
      <c r="H362" s="221">
        <f>H123</f>
        <v>10</v>
      </c>
      <c r="I362" s="54" t="s">
        <v>54</v>
      </c>
      <c r="M362" s="19"/>
      <c r="N362" s="23"/>
    </row>
    <row r="363" spans="1:26" x14ac:dyDescent="0.25">
      <c r="A363" s="2"/>
      <c r="B363" s="40" t="s">
        <v>35</v>
      </c>
      <c r="C363" s="2"/>
      <c r="D363" s="2"/>
      <c r="E363" s="2"/>
      <c r="F363" s="221">
        <f>F124</f>
        <v>0</v>
      </c>
      <c r="G363" s="280" t="s">
        <v>54</v>
      </c>
      <c r="H363" s="221">
        <f>H124</f>
        <v>120</v>
      </c>
      <c r="I363" s="54" t="s">
        <v>54</v>
      </c>
      <c r="M363" s="19"/>
      <c r="N363" s="23"/>
    </row>
    <row r="364" spans="1:26" x14ac:dyDescent="0.25">
      <c r="A364" s="2"/>
      <c r="B364" s="40" t="s">
        <v>36</v>
      </c>
      <c r="C364" s="2"/>
      <c r="D364" s="2"/>
      <c r="E364" s="2"/>
      <c r="F364" s="221">
        <f>F125</f>
        <v>0</v>
      </c>
      <c r="G364" s="280" t="s">
        <v>54</v>
      </c>
      <c r="H364" s="221">
        <f>H125</f>
        <v>50</v>
      </c>
      <c r="I364" s="54" t="s">
        <v>54</v>
      </c>
      <c r="M364" s="19"/>
      <c r="N364" s="23"/>
    </row>
    <row r="365" spans="1:26" x14ac:dyDescent="0.25">
      <c r="A365" s="2"/>
      <c r="B365" s="240" t="s">
        <v>165</v>
      </c>
      <c r="C365" s="2"/>
      <c r="D365" s="2"/>
      <c r="E365" s="2"/>
      <c r="F365" s="221"/>
      <c r="G365" s="280"/>
      <c r="H365" s="221"/>
      <c r="I365" s="54"/>
      <c r="M365" s="19"/>
      <c r="N365" s="23"/>
    </row>
    <row r="366" spans="1:26" x14ac:dyDescent="0.25">
      <c r="A366" s="2"/>
      <c r="B366" s="40" t="s">
        <v>163</v>
      </c>
      <c r="C366" s="2"/>
      <c r="D366" s="2"/>
      <c r="E366" s="2"/>
      <c r="F366" s="221">
        <f>F127</f>
        <v>71.530758226037207</v>
      </c>
      <c r="G366" s="280" t="s">
        <v>54</v>
      </c>
      <c r="H366" s="221">
        <f>H127</f>
        <v>143.06151645207441</v>
      </c>
      <c r="I366" s="54" t="s">
        <v>54</v>
      </c>
      <c r="M366" s="19"/>
      <c r="N366" s="23"/>
    </row>
    <row r="367" spans="1:26" x14ac:dyDescent="0.25">
      <c r="A367" s="2"/>
      <c r="B367" s="40" t="s">
        <v>162</v>
      </c>
      <c r="C367" s="2"/>
      <c r="D367" s="2"/>
      <c r="E367" s="2"/>
      <c r="F367" s="221">
        <f>F128*D174</f>
        <v>53.648068669527902</v>
      </c>
      <c r="G367" s="280" t="s">
        <v>54</v>
      </c>
      <c r="H367" s="221">
        <f>H128*D174</f>
        <v>107.2961373390558</v>
      </c>
      <c r="I367" s="54" t="s">
        <v>54</v>
      </c>
      <c r="M367" s="19"/>
      <c r="N367" s="23"/>
    </row>
    <row r="368" spans="1:26" x14ac:dyDescent="0.25">
      <c r="A368" s="2"/>
      <c r="B368" s="40" t="s">
        <v>164</v>
      </c>
      <c r="C368" s="2"/>
      <c r="D368" s="2"/>
      <c r="E368" s="2"/>
      <c r="F368" s="221">
        <f>F129*D174</f>
        <v>53.648068669527902</v>
      </c>
      <c r="G368" s="280" t="s">
        <v>54</v>
      </c>
      <c r="H368" s="221">
        <f>H129*D174</f>
        <v>53.648068669527902</v>
      </c>
      <c r="I368" s="54" t="s">
        <v>54</v>
      </c>
      <c r="M368" s="19"/>
      <c r="N368" s="23"/>
    </row>
    <row r="369" spans="1:14" x14ac:dyDescent="0.25">
      <c r="A369" s="2"/>
      <c r="B369" s="9" t="s">
        <v>0</v>
      </c>
      <c r="C369" s="4"/>
      <c r="D369" s="4"/>
      <c r="E369" s="4"/>
      <c r="F369" s="221"/>
      <c r="G369" s="280"/>
      <c r="H369" s="221"/>
      <c r="I369" s="54"/>
      <c r="M369" s="19"/>
      <c r="N369" s="23"/>
    </row>
    <row r="370" spans="1:14" x14ac:dyDescent="0.25">
      <c r="A370" s="2"/>
      <c r="B370" s="40" t="s">
        <v>142</v>
      </c>
      <c r="C370" s="4"/>
      <c r="D370" s="4"/>
      <c r="E370" s="4"/>
      <c r="F370" s="221">
        <f>F131*D173</f>
        <v>2515.1466380543638</v>
      </c>
      <c r="G370" s="280" t="s">
        <v>54</v>
      </c>
      <c r="H370" s="221">
        <f>H131*D173</f>
        <v>5030.2932761087277</v>
      </c>
      <c r="I370" s="54" t="s">
        <v>54</v>
      </c>
      <c r="M370" s="19"/>
      <c r="N370" s="23"/>
    </row>
    <row r="371" spans="1:14" x14ac:dyDescent="0.25">
      <c r="A371" s="2"/>
      <c r="B371" s="40" t="s">
        <v>143</v>
      </c>
      <c r="C371" s="2"/>
      <c r="D371" s="2"/>
      <c r="E371" s="2"/>
      <c r="F371" s="221">
        <f>F132*D173</f>
        <v>0</v>
      </c>
      <c r="G371" s="280" t="s">
        <v>54</v>
      </c>
      <c r="H371" s="221">
        <f>H132*D173</f>
        <v>0</v>
      </c>
      <c r="I371" s="54" t="s">
        <v>54</v>
      </c>
      <c r="M371" s="19"/>
      <c r="N371" s="23"/>
    </row>
    <row r="372" spans="1:14" x14ac:dyDescent="0.25">
      <c r="A372" s="2"/>
      <c r="B372" s="40" t="s">
        <v>144</v>
      </c>
      <c r="C372" s="2"/>
      <c r="D372" s="2"/>
      <c r="E372" s="2"/>
      <c r="F372" s="221">
        <f>F133*D173</f>
        <v>402.42346208869816</v>
      </c>
      <c r="G372" s="280" t="s">
        <v>54</v>
      </c>
      <c r="H372" s="221">
        <f>H133*D173</f>
        <v>402.42346208869816</v>
      </c>
      <c r="I372" s="54" t="s">
        <v>54</v>
      </c>
      <c r="M372" s="19"/>
      <c r="N372" s="23"/>
    </row>
    <row r="373" spans="1:14" x14ac:dyDescent="0.25">
      <c r="A373" s="2"/>
      <c r="B373" s="40" t="s">
        <v>145</v>
      </c>
      <c r="C373" s="2"/>
      <c r="D373" s="2"/>
      <c r="E373" s="2"/>
      <c r="F373" s="221">
        <f t="shared" ref="F373:F378" si="104">F134</f>
        <v>0</v>
      </c>
      <c r="G373" s="280" t="s">
        <v>54</v>
      </c>
      <c r="H373" s="221">
        <f t="shared" ref="H373:H378" si="105">H134</f>
        <v>85.836909871244643</v>
      </c>
      <c r="I373" s="54" t="s">
        <v>54</v>
      </c>
      <c r="M373" s="19"/>
      <c r="N373" s="23"/>
    </row>
    <row r="374" spans="1:14" x14ac:dyDescent="0.25">
      <c r="A374" s="2"/>
      <c r="B374" s="9" t="s">
        <v>28</v>
      </c>
      <c r="C374" s="2"/>
      <c r="D374" s="2"/>
      <c r="E374" s="2"/>
      <c r="F374" s="221">
        <f t="shared" si="104"/>
        <v>0</v>
      </c>
      <c r="G374" s="280" t="s">
        <v>54</v>
      </c>
      <c r="H374" s="221">
        <f t="shared" si="105"/>
        <v>0</v>
      </c>
      <c r="I374" s="54" t="s">
        <v>54</v>
      </c>
      <c r="M374" s="19"/>
      <c r="N374" s="23"/>
    </row>
    <row r="375" spans="1:14" x14ac:dyDescent="0.25">
      <c r="A375" s="2"/>
      <c r="B375" s="9" t="s">
        <v>146</v>
      </c>
      <c r="C375" s="2"/>
      <c r="D375" s="2"/>
      <c r="E375" s="2"/>
      <c r="F375" s="221">
        <f t="shared" si="104"/>
        <v>0</v>
      </c>
      <c r="G375" s="280" t="s">
        <v>54</v>
      </c>
      <c r="H375" s="221">
        <f t="shared" si="105"/>
        <v>35.765379113018604</v>
      </c>
      <c r="I375" s="54" t="s">
        <v>54</v>
      </c>
      <c r="M375" s="19"/>
      <c r="N375" s="23"/>
    </row>
    <row r="376" spans="1:14" x14ac:dyDescent="0.25">
      <c r="A376" s="2"/>
      <c r="B376" s="9" t="s">
        <v>4</v>
      </c>
      <c r="C376" s="2"/>
      <c r="D376" s="2"/>
      <c r="E376" s="2"/>
      <c r="F376" s="221">
        <f t="shared" si="104"/>
        <v>0</v>
      </c>
      <c r="G376" s="280" t="s">
        <v>54</v>
      </c>
      <c r="H376" s="221">
        <f t="shared" si="105"/>
        <v>0</v>
      </c>
      <c r="I376" s="54" t="s">
        <v>54</v>
      </c>
      <c r="M376" s="19"/>
      <c r="N376" s="23"/>
    </row>
    <row r="377" spans="1:14" x14ac:dyDescent="0.25">
      <c r="A377" s="2"/>
      <c r="B377" s="9" t="s">
        <v>20</v>
      </c>
      <c r="C377" s="2"/>
      <c r="D377" s="2"/>
      <c r="E377" s="2"/>
      <c r="F377" s="221">
        <f t="shared" si="104"/>
        <v>1171.5</v>
      </c>
      <c r="G377" s="280" t="s">
        <v>54</v>
      </c>
      <c r="H377" s="221">
        <f t="shared" si="105"/>
        <v>1171.5</v>
      </c>
      <c r="I377" s="54" t="s">
        <v>54</v>
      </c>
      <c r="M377" s="19"/>
      <c r="N377" s="23"/>
    </row>
    <row r="378" spans="1:14" x14ac:dyDescent="0.25">
      <c r="A378" s="2"/>
      <c r="B378" s="9" t="s">
        <v>26</v>
      </c>
      <c r="C378" s="2"/>
      <c r="D378" s="2"/>
      <c r="E378" s="2"/>
      <c r="F378" s="221">
        <f t="shared" si="104"/>
        <v>83.52</v>
      </c>
      <c r="G378" s="280" t="s">
        <v>54</v>
      </c>
      <c r="H378" s="221">
        <f t="shared" si="105"/>
        <v>83.52</v>
      </c>
      <c r="I378" s="54" t="s">
        <v>54</v>
      </c>
      <c r="M378" s="19"/>
      <c r="N378" s="23"/>
    </row>
    <row r="379" spans="1:14" x14ac:dyDescent="0.25">
      <c r="A379" s="2"/>
      <c r="B379" s="9" t="s">
        <v>29</v>
      </c>
      <c r="C379" s="2"/>
      <c r="D379" s="2"/>
      <c r="E379" s="2"/>
      <c r="F379" s="221"/>
      <c r="G379" s="280"/>
      <c r="H379" s="221"/>
      <c r="I379" s="54"/>
      <c r="M379" s="19"/>
      <c r="N379" s="24"/>
    </row>
    <row r="380" spans="1:14" x14ac:dyDescent="0.25">
      <c r="A380" s="2"/>
      <c r="B380" s="40" t="s">
        <v>130</v>
      </c>
      <c r="C380" s="2"/>
      <c r="D380" s="2"/>
      <c r="E380" s="2"/>
      <c r="F380" s="221">
        <f t="shared" ref="F380:F388" si="106">F141*$D$174</f>
        <v>214.59227467811161</v>
      </c>
      <c r="G380" s="280" t="s">
        <v>54</v>
      </c>
      <c r="H380" s="221">
        <f t="shared" ref="H380:H388" si="107">H141*$D$174</f>
        <v>429.18454935622321</v>
      </c>
      <c r="I380" s="54" t="s">
        <v>54</v>
      </c>
      <c r="M380" s="19"/>
      <c r="N380" s="24"/>
    </row>
    <row r="381" spans="1:14" x14ac:dyDescent="0.25">
      <c r="A381" s="2"/>
      <c r="B381" s="40" t="s">
        <v>24</v>
      </c>
      <c r="C381" s="2"/>
      <c r="D381" s="2"/>
      <c r="E381" s="2"/>
      <c r="F381" s="221">
        <f t="shared" si="106"/>
        <v>643.77682403433482</v>
      </c>
      <c r="G381" s="280" t="s">
        <v>54</v>
      </c>
      <c r="H381" s="221">
        <f t="shared" si="107"/>
        <v>751.07296137339063</v>
      </c>
      <c r="I381" s="54" t="s">
        <v>54</v>
      </c>
      <c r="M381" s="19"/>
      <c r="N381" s="24"/>
    </row>
    <row r="382" spans="1:14" x14ac:dyDescent="0.25">
      <c r="A382" s="2"/>
      <c r="B382" s="40" t="s">
        <v>134</v>
      </c>
      <c r="C382" s="2"/>
      <c r="D382" s="2"/>
      <c r="E382" s="2"/>
      <c r="F382" s="221">
        <f t="shared" si="106"/>
        <v>10.72961373390558</v>
      </c>
      <c r="G382" s="280" t="s">
        <v>54</v>
      </c>
      <c r="H382" s="221">
        <f t="shared" si="107"/>
        <v>10.72961373390558</v>
      </c>
      <c r="I382" s="54" t="s">
        <v>54</v>
      </c>
      <c r="M382" s="19"/>
      <c r="N382" s="24"/>
    </row>
    <row r="383" spans="1:14" x14ac:dyDescent="0.25">
      <c r="A383" s="2"/>
      <c r="B383" s="40" t="s">
        <v>132</v>
      </c>
      <c r="C383" s="2"/>
      <c r="D383" s="2"/>
      <c r="E383" s="2"/>
      <c r="F383" s="221">
        <f t="shared" si="106"/>
        <v>0</v>
      </c>
      <c r="G383" s="280" t="s">
        <v>54</v>
      </c>
      <c r="H383" s="221">
        <f t="shared" si="107"/>
        <v>53.648068669527902</v>
      </c>
      <c r="I383" s="54" t="s">
        <v>54</v>
      </c>
      <c r="M383" s="19"/>
      <c r="N383" s="24"/>
    </row>
    <row r="384" spans="1:14" x14ac:dyDescent="0.25">
      <c r="A384" s="2"/>
      <c r="B384" s="40" t="s">
        <v>136</v>
      </c>
      <c r="C384" s="2"/>
      <c r="D384" s="2"/>
      <c r="E384" s="2"/>
      <c r="F384" s="221">
        <f t="shared" si="106"/>
        <v>214.59227467811161</v>
      </c>
      <c r="G384" s="280" t="s">
        <v>54</v>
      </c>
      <c r="H384" s="221">
        <f t="shared" si="107"/>
        <v>214.59227467811161</v>
      </c>
      <c r="I384" s="54" t="s">
        <v>54</v>
      </c>
      <c r="M384" s="19"/>
      <c r="N384" s="24"/>
    </row>
    <row r="385" spans="1:14" x14ac:dyDescent="0.25">
      <c r="A385" s="2"/>
      <c r="B385" s="40" t="s">
        <v>25</v>
      </c>
      <c r="C385" s="2"/>
      <c r="D385" s="2"/>
      <c r="E385" s="2"/>
      <c r="F385" s="221">
        <f t="shared" si="106"/>
        <v>0</v>
      </c>
      <c r="G385" s="280" t="s">
        <v>54</v>
      </c>
      <c r="H385" s="221">
        <f t="shared" si="107"/>
        <v>429.18454935622321</v>
      </c>
      <c r="I385" s="54" t="s">
        <v>54</v>
      </c>
      <c r="M385" s="19"/>
      <c r="N385" s="24"/>
    </row>
    <row r="386" spans="1:14" x14ac:dyDescent="0.25">
      <c r="A386" s="2"/>
      <c r="B386" s="40" t="s">
        <v>131</v>
      </c>
      <c r="C386" s="2"/>
      <c r="D386" s="2"/>
      <c r="E386" s="2"/>
      <c r="F386" s="221">
        <f t="shared" si="106"/>
        <v>348.71244635193136</v>
      </c>
      <c r="G386" s="280" t="s">
        <v>54</v>
      </c>
      <c r="H386" s="221">
        <f t="shared" si="107"/>
        <v>523.0686695278971</v>
      </c>
      <c r="I386" s="54" t="s">
        <v>54</v>
      </c>
      <c r="M386" s="19"/>
      <c r="N386" s="24"/>
    </row>
    <row r="387" spans="1:14" x14ac:dyDescent="0.25">
      <c r="A387" s="2"/>
      <c r="B387" s="40" t="s">
        <v>133</v>
      </c>
      <c r="C387" s="2"/>
      <c r="D387" s="2"/>
      <c r="E387" s="2"/>
      <c r="F387" s="221">
        <f t="shared" si="106"/>
        <v>2317.5965665236054</v>
      </c>
      <c r="G387" s="280" t="s">
        <v>54</v>
      </c>
      <c r="H387" s="221">
        <f t="shared" si="107"/>
        <v>3862.6609442060089</v>
      </c>
      <c r="I387" s="54" t="s">
        <v>54</v>
      </c>
      <c r="M387" s="19"/>
      <c r="N387" s="24"/>
    </row>
    <row r="388" spans="1:14" x14ac:dyDescent="0.25">
      <c r="A388" s="2"/>
      <c r="B388" s="40" t="s">
        <v>129</v>
      </c>
      <c r="C388" s="2"/>
      <c r="D388" s="2"/>
      <c r="E388" s="2"/>
      <c r="F388" s="221">
        <f t="shared" si="106"/>
        <v>686.69527896995714</v>
      </c>
      <c r="G388" s="280" t="s">
        <v>54</v>
      </c>
      <c r="H388" s="221">
        <f t="shared" si="107"/>
        <v>686.69527896995714</v>
      </c>
      <c r="I388" s="54" t="s">
        <v>54</v>
      </c>
      <c r="M388" s="19"/>
      <c r="N388" s="24"/>
    </row>
    <row r="389" spans="1:14" x14ac:dyDescent="0.25">
      <c r="A389" s="2"/>
      <c r="B389" s="9" t="s">
        <v>30</v>
      </c>
      <c r="C389" s="2"/>
      <c r="D389" s="2"/>
      <c r="E389" s="2"/>
      <c r="F389" s="221">
        <f>F150</f>
        <v>0</v>
      </c>
      <c r="G389" s="280" t="s">
        <v>54</v>
      </c>
      <c r="H389" s="221">
        <f>H150</f>
        <v>0</v>
      </c>
      <c r="I389" s="54" t="s">
        <v>54</v>
      </c>
      <c r="M389" s="19"/>
      <c r="N389" s="24"/>
    </row>
    <row r="390" spans="1:14" x14ac:dyDescent="0.25">
      <c r="A390" s="2"/>
      <c r="B390" s="9" t="s">
        <v>147</v>
      </c>
      <c r="C390" s="2"/>
      <c r="D390" s="2"/>
      <c r="E390" s="2"/>
      <c r="F390" s="221">
        <f>F151*D174</f>
        <v>450.64377682403438</v>
      </c>
      <c r="G390" s="280" t="s">
        <v>54</v>
      </c>
      <c r="H390" s="221">
        <f>H151*D174</f>
        <v>751.07296137339063</v>
      </c>
      <c r="I390" s="54" t="s">
        <v>54</v>
      </c>
      <c r="M390" s="19"/>
      <c r="N390" s="24"/>
    </row>
    <row r="391" spans="1:14" x14ac:dyDescent="0.25">
      <c r="A391" s="2"/>
      <c r="B391" s="41" t="s">
        <v>27</v>
      </c>
      <c r="C391" s="4"/>
      <c r="D391" s="2"/>
      <c r="E391" s="2"/>
      <c r="F391" s="221">
        <f>F152</f>
        <v>27</v>
      </c>
      <c r="G391" s="280" t="s">
        <v>54</v>
      </c>
      <c r="H391" s="221">
        <f>H152</f>
        <v>27</v>
      </c>
      <c r="I391" s="54" t="s">
        <v>54</v>
      </c>
      <c r="M391" s="19"/>
      <c r="N391" s="24"/>
    </row>
    <row r="392" spans="1:14" x14ac:dyDescent="0.25">
      <c r="A392" s="2"/>
      <c r="B392" s="9" t="s">
        <v>22</v>
      </c>
      <c r="C392" s="2"/>
      <c r="D392" s="2"/>
      <c r="E392" s="2"/>
      <c r="F392" s="221">
        <f>F153</f>
        <v>0</v>
      </c>
      <c r="G392" s="280" t="s">
        <v>54</v>
      </c>
      <c r="H392" s="221">
        <f>H153</f>
        <v>500</v>
      </c>
      <c r="I392" s="54" t="s">
        <v>54</v>
      </c>
      <c r="M392" s="19"/>
      <c r="N392" s="24"/>
    </row>
    <row r="393" spans="1:14" x14ac:dyDescent="0.25">
      <c r="A393" s="2"/>
      <c r="B393" s="9" t="s">
        <v>21</v>
      </c>
      <c r="C393" s="2"/>
      <c r="D393" s="2"/>
      <c r="E393" s="2"/>
      <c r="F393" s="221">
        <f>F154</f>
        <v>0</v>
      </c>
      <c r="G393" s="280" t="s">
        <v>54</v>
      </c>
      <c r="H393" s="221">
        <f>H154</f>
        <v>0</v>
      </c>
      <c r="I393" s="54" t="s">
        <v>54</v>
      </c>
      <c r="M393" s="19"/>
      <c r="N393" s="24"/>
    </row>
    <row r="394" spans="1:14" x14ac:dyDescent="0.25">
      <c r="A394" s="2"/>
      <c r="B394" s="9" t="s">
        <v>49</v>
      </c>
      <c r="C394" s="2"/>
      <c r="D394" s="2"/>
      <c r="E394" s="2"/>
      <c r="F394" s="221">
        <f>F155</f>
        <v>1645.2074391988556</v>
      </c>
      <c r="G394" s="280" t="s">
        <v>54</v>
      </c>
      <c r="H394" s="221">
        <f>H155</f>
        <v>1645.2074391988556</v>
      </c>
      <c r="I394" s="54" t="s">
        <v>54</v>
      </c>
      <c r="M394" s="19"/>
      <c r="N394" s="24"/>
    </row>
    <row r="395" spans="1:14" x14ac:dyDescent="0.25">
      <c r="A395" s="2"/>
      <c r="B395" s="9"/>
      <c r="C395" s="2"/>
      <c r="D395" s="2"/>
      <c r="E395" s="2"/>
      <c r="F395" s="221"/>
      <c r="G395" s="29"/>
      <c r="H395" s="221"/>
      <c r="I395" s="54"/>
      <c r="M395" s="19"/>
      <c r="N395" s="24"/>
    </row>
    <row r="396" spans="1:14" s="1" customFormat="1" x14ac:dyDescent="0.25">
      <c r="A396" s="5"/>
      <c r="B396" s="32" t="s">
        <v>154</v>
      </c>
      <c r="C396" s="5"/>
      <c r="D396" s="5"/>
      <c r="E396" s="5"/>
      <c r="F396" s="279">
        <f>SUM(F380:F390)-F386-F385</f>
        <v>4538.6266094420598</v>
      </c>
      <c r="G396" s="65" t="s">
        <v>54</v>
      </c>
      <c r="H396" s="279">
        <f>SUM(H380:H390)-H386-H385</f>
        <v>6759.6566523605152</v>
      </c>
      <c r="I396" s="66" t="s">
        <v>54</v>
      </c>
      <c r="M396" s="21"/>
      <c r="N396" s="67"/>
    </row>
    <row r="397" spans="1:14" s="1" customFormat="1" x14ac:dyDescent="0.25">
      <c r="A397" s="5"/>
      <c r="B397" s="47" t="s">
        <v>56</v>
      </c>
      <c r="C397" s="5"/>
      <c r="D397" s="5"/>
      <c r="E397" s="5"/>
      <c r="F397" s="279">
        <f>SUM(F370:F378,F391:F394)-F376-F377-F370-F371</f>
        <v>2158.1509012875536</v>
      </c>
      <c r="G397" s="65" t="s">
        <v>54</v>
      </c>
      <c r="H397" s="279">
        <f>SUM(H370:H378,H391:H394)-H376-H377-H370-H371</f>
        <v>2779.7531902718174</v>
      </c>
      <c r="I397" s="66" t="s">
        <v>54</v>
      </c>
      <c r="M397" s="21"/>
      <c r="N397" s="67"/>
    </row>
    <row r="398" spans="1:14" s="1" customFormat="1" x14ac:dyDescent="0.25">
      <c r="A398" s="5"/>
      <c r="B398" s="47"/>
      <c r="C398" s="5"/>
      <c r="D398" s="5"/>
      <c r="E398" s="5"/>
      <c r="F398" s="279"/>
      <c r="G398" s="65"/>
      <c r="H398" s="279"/>
      <c r="I398" s="66"/>
      <c r="M398" s="21"/>
      <c r="N398" s="67"/>
    </row>
    <row r="399" spans="1:14" s="1" customFormat="1" x14ac:dyDescent="0.25">
      <c r="A399" s="5"/>
      <c r="B399" s="32" t="s">
        <v>155</v>
      </c>
      <c r="C399" s="5"/>
      <c r="D399" s="5"/>
      <c r="E399" s="5"/>
      <c r="F399" s="279">
        <f>SUM(F380:F390)-F385</f>
        <v>4887.3390557939911</v>
      </c>
      <c r="G399" s="65" t="s">
        <v>54</v>
      </c>
      <c r="H399" s="279">
        <f>SUM(H380:H390)-H385</f>
        <v>7282.7253218884125</v>
      </c>
      <c r="I399" s="66" t="s">
        <v>54</v>
      </c>
      <c r="M399" s="21"/>
      <c r="N399" s="67"/>
    </row>
    <row r="400" spans="1:14" s="1" customFormat="1" x14ac:dyDescent="0.25">
      <c r="A400" s="5"/>
      <c r="B400" s="32" t="s">
        <v>119</v>
      </c>
      <c r="C400" s="5"/>
      <c r="D400" s="5"/>
      <c r="E400" s="5"/>
      <c r="F400" s="279">
        <f>SUM(F391:F394,F370:F378)-F377-F392</f>
        <v>4673.2975393419183</v>
      </c>
      <c r="G400" s="65" t="s">
        <v>54</v>
      </c>
      <c r="H400" s="279">
        <f>SUM(H391:H394,H370:H378)-H377-H392</f>
        <v>7310.0464663805451</v>
      </c>
      <c r="I400" s="66" t="s">
        <v>54</v>
      </c>
      <c r="M400" s="21"/>
      <c r="N400" s="67"/>
    </row>
    <row r="401" spans="1:26" s="1" customFormat="1" x14ac:dyDescent="0.25">
      <c r="A401" s="5"/>
      <c r="B401" s="32"/>
      <c r="C401" s="5"/>
      <c r="D401" s="5"/>
      <c r="E401" s="5"/>
      <c r="F401" s="279"/>
      <c r="G401" s="65"/>
      <c r="H401" s="279"/>
      <c r="I401" s="66"/>
      <c r="M401" s="21"/>
      <c r="N401" s="67"/>
    </row>
    <row r="402" spans="1:26" s="1" customFormat="1" x14ac:dyDescent="0.25">
      <c r="A402" s="5"/>
      <c r="B402" s="32" t="s">
        <v>256</v>
      </c>
      <c r="C402" s="5"/>
      <c r="D402" s="5"/>
      <c r="E402" s="5"/>
      <c r="F402" s="279">
        <f>F385+SUM(F366:F368)</f>
        <v>178.82689556509303</v>
      </c>
      <c r="G402" s="65" t="s">
        <v>54</v>
      </c>
      <c r="H402" s="279">
        <f>H385+SUM(H366:H368)</f>
        <v>733.19027181688136</v>
      </c>
      <c r="I402" s="66" t="s">
        <v>54</v>
      </c>
      <c r="M402" s="21"/>
      <c r="N402" s="67"/>
    </row>
    <row r="403" spans="1:26" s="1" customFormat="1" x14ac:dyDescent="0.25">
      <c r="A403" s="5"/>
      <c r="B403" s="32" t="s">
        <v>257</v>
      </c>
      <c r="C403" s="5"/>
      <c r="D403" s="5"/>
      <c r="E403" s="5"/>
      <c r="F403" s="279">
        <f>SUM(F359:F364)</f>
        <v>193.47281831187414</v>
      </c>
      <c r="G403" s="65" t="s">
        <v>54</v>
      </c>
      <c r="H403" s="279">
        <f>SUM(H359:H364)</f>
        <v>566.94563662374821</v>
      </c>
      <c r="I403" s="66" t="s">
        <v>54</v>
      </c>
      <c r="M403" s="21"/>
      <c r="N403" s="67"/>
    </row>
    <row r="404" spans="1:26" ht="15.75" thickBot="1" x14ac:dyDescent="0.3">
      <c r="A404" s="2"/>
      <c r="B404" s="16"/>
      <c r="C404" s="12"/>
      <c r="D404" s="12"/>
      <c r="E404" s="12"/>
      <c r="F404" s="193"/>
      <c r="G404" s="46"/>
      <c r="H404" s="192"/>
      <c r="I404" s="57"/>
      <c r="M404" s="19"/>
      <c r="N404" s="24"/>
    </row>
    <row r="405" spans="1:26" ht="15.75" thickBot="1" x14ac:dyDescent="0.3">
      <c r="A405" s="2"/>
      <c r="B405" s="60"/>
      <c r="C405" s="2"/>
      <c r="D405" s="2"/>
      <c r="E405" s="2"/>
      <c r="F405" s="278"/>
      <c r="G405" s="4"/>
      <c r="H405" s="278"/>
      <c r="I405" s="4"/>
      <c r="M405" s="19"/>
      <c r="N405" s="24"/>
    </row>
    <row r="406" spans="1:26" x14ac:dyDescent="0.25">
      <c r="A406" s="1"/>
      <c r="B406" s="48" t="s">
        <v>272</v>
      </c>
      <c r="C406" s="49"/>
      <c r="D406" s="49"/>
      <c r="E406" s="50"/>
      <c r="F406" s="50"/>
      <c r="G406" s="50"/>
      <c r="H406" s="50"/>
      <c r="I406" s="50"/>
      <c r="J406" s="50"/>
      <c r="K406" s="50"/>
      <c r="L406" s="50"/>
      <c r="M406" s="50"/>
      <c r="N406" s="50"/>
      <c r="O406" s="50"/>
      <c r="P406" s="50"/>
      <c r="Q406" s="50"/>
      <c r="R406" s="50"/>
      <c r="S406" s="50"/>
      <c r="T406" s="50"/>
      <c r="U406" s="50"/>
      <c r="V406" s="50"/>
      <c r="W406" s="50"/>
      <c r="X406" s="50"/>
      <c r="Y406" s="50"/>
      <c r="Z406" s="51"/>
    </row>
    <row r="407" spans="1:26" x14ac:dyDescent="0.25">
      <c r="A407" s="1"/>
      <c r="B407" s="154"/>
      <c r="C407" s="142"/>
      <c r="D407" s="142"/>
      <c r="E407" s="143" t="s">
        <v>8</v>
      </c>
      <c r="F407" s="144">
        <v>0</v>
      </c>
      <c r="G407" s="144">
        <v>1</v>
      </c>
      <c r="H407" s="144">
        <v>2</v>
      </c>
      <c r="I407" s="144">
        <v>3</v>
      </c>
      <c r="J407" s="144">
        <v>4</v>
      </c>
      <c r="K407" s="144">
        <v>5</v>
      </c>
      <c r="L407" s="144">
        <v>6</v>
      </c>
      <c r="M407" s="144">
        <v>7</v>
      </c>
      <c r="N407" s="144">
        <v>8</v>
      </c>
      <c r="O407" s="144">
        <v>9</v>
      </c>
      <c r="P407" s="144">
        <v>10</v>
      </c>
      <c r="Q407" s="144">
        <v>11</v>
      </c>
      <c r="R407" s="144">
        <v>12</v>
      </c>
      <c r="S407" s="144">
        <v>13</v>
      </c>
      <c r="T407" s="144">
        <v>14</v>
      </c>
      <c r="U407" s="144">
        <v>15</v>
      </c>
      <c r="V407" s="144">
        <v>16</v>
      </c>
      <c r="W407" s="144">
        <v>17</v>
      </c>
      <c r="X407" s="144">
        <v>18</v>
      </c>
      <c r="Y407" s="144">
        <v>19</v>
      </c>
      <c r="Z407" s="145">
        <v>20</v>
      </c>
    </row>
    <row r="408" spans="1:26" x14ac:dyDescent="0.25">
      <c r="B408" s="9"/>
      <c r="C408" s="2"/>
      <c r="D408" s="2"/>
      <c r="E408" s="2"/>
      <c r="F408" s="74"/>
      <c r="G408" s="74"/>
      <c r="H408" s="74"/>
      <c r="I408" s="74"/>
      <c r="J408" s="74"/>
      <c r="K408" s="74"/>
      <c r="L408" s="74"/>
      <c r="M408" s="74"/>
      <c r="N408" s="74"/>
      <c r="O408" s="74"/>
      <c r="P408" s="74"/>
      <c r="Q408" s="74"/>
      <c r="R408" s="74"/>
      <c r="S408" s="74"/>
      <c r="T408" s="74"/>
      <c r="U408" s="74"/>
      <c r="V408" s="74"/>
      <c r="W408" s="74"/>
      <c r="X408" s="74"/>
      <c r="Y408" s="74"/>
      <c r="Z408" s="75"/>
    </row>
    <row r="409" spans="1:26" s="69" customFormat="1" ht="15.75" x14ac:dyDescent="0.25">
      <c r="B409" s="107" t="s">
        <v>64</v>
      </c>
      <c r="C409" s="4"/>
      <c r="D409" s="4"/>
      <c r="E409" s="4"/>
      <c r="G409" s="76"/>
      <c r="H409" s="76"/>
      <c r="I409" s="76"/>
      <c r="J409" s="76"/>
      <c r="K409" s="76"/>
      <c r="L409" s="76"/>
      <c r="M409" s="76"/>
      <c r="N409" s="76"/>
      <c r="O409" s="76"/>
      <c r="P409" s="76"/>
      <c r="Q409" s="76"/>
      <c r="R409" s="76"/>
      <c r="S409" s="76"/>
      <c r="T409" s="76"/>
      <c r="U409" s="76"/>
      <c r="V409" s="76"/>
      <c r="W409" s="76"/>
      <c r="X409" s="76"/>
      <c r="Y409" s="76"/>
      <c r="Z409" s="77"/>
    </row>
    <row r="410" spans="1:26" s="69" customFormat="1" x14ac:dyDescent="0.25">
      <c r="B410" s="106" t="s">
        <v>60</v>
      </c>
      <c r="C410" s="4"/>
      <c r="D410" s="4"/>
      <c r="E410" s="4"/>
      <c r="F410" s="76">
        <f t="shared" ref="F410:Z410" si="108">F223*$D$174</f>
        <v>3177.038626609442</v>
      </c>
      <c r="G410" s="76">
        <f t="shared" si="108"/>
        <v>3177.038626609442</v>
      </c>
      <c r="H410" s="76">
        <f t="shared" si="108"/>
        <v>3177.038626609442</v>
      </c>
      <c r="I410" s="76">
        <f t="shared" si="108"/>
        <v>3177.038626609442</v>
      </c>
      <c r="J410" s="76">
        <f t="shared" si="108"/>
        <v>3177.038626609442</v>
      </c>
      <c r="K410" s="76">
        <f t="shared" si="108"/>
        <v>3177.038626609442</v>
      </c>
      <c r="L410" s="76">
        <f t="shared" si="108"/>
        <v>3177.038626609442</v>
      </c>
      <c r="M410" s="76">
        <f t="shared" si="108"/>
        <v>3177.038626609442</v>
      </c>
      <c r="N410" s="76">
        <f t="shared" si="108"/>
        <v>3177.038626609442</v>
      </c>
      <c r="O410" s="76">
        <f t="shared" si="108"/>
        <v>3177.038626609442</v>
      </c>
      <c r="P410" s="76">
        <f t="shared" si="108"/>
        <v>3177.038626609442</v>
      </c>
      <c r="Q410" s="76">
        <f t="shared" si="108"/>
        <v>3177.038626609442</v>
      </c>
      <c r="R410" s="76">
        <f t="shared" si="108"/>
        <v>3177.038626609442</v>
      </c>
      <c r="S410" s="76">
        <f t="shared" si="108"/>
        <v>3177.038626609442</v>
      </c>
      <c r="T410" s="76">
        <f t="shared" si="108"/>
        <v>3177.038626609442</v>
      </c>
      <c r="U410" s="76">
        <f t="shared" si="108"/>
        <v>3177.038626609442</v>
      </c>
      <c r="V410" s="76">
        <f t="shared" si="108"/>
        <v>3177.038626609442</v>
      </c>
      <c r="W410" s="76">
        <f t="shared" si="108"/>
        <v>3177.038626609442</v>
      </c>
      <c r="X410" s="76">
        <f t="shared" si="108"/>
        <v>3177.038626609442</v>
      </c>
      <c r="Y410" s="76">
        <f t="shared" si="108"/>
        <v>3177.038626609442</v>
      </c>
      <c r="Z410" s="77">
        <f t="shared" si="108"/>
        <v>3177.038626609442</v>
      </c>
    </row>
    <row r="411" spans="1:26" x14ac:dyDescent="0.25">
      <c r="A411" s="27"/>
      <c r="B411" s="9" t="s">
        <v>61</v>
      </c>
      <c r="C411" s="2"/>
      <c r="D411" s="2"/>
      <c r="E411" s="2"/>
      <c r="F411" s="76">
        <f>($F$397*F206+$F$377)*$F$14</f>
        <v>2330.7556309012875</v>
      </c>
      <c r="G411" s="76">
        <f>$F$397*G206*$F$14</f>
        <v>1525.8126872103001</v>
      </c>
      <c r="H411" s="76">
        <f>$F$397*H206*$F$14</f>
        <v>1541.0708140824033</v>
      </c>
      <c r="I411" s="76">
        <f>($F$397*I206+$F$377)*$F$14</f>
        <v>2376.5315222232271</v>
      </c>
      <c r="J411" s="76">
        <f>$F$397*J206*$F$14</f>
        <v>1572.0463374454598</v>
      </c>
      <c r="K411" s="76">
        <f>$F$397*K206*$F$14</f>
        <v>1587.7668008199141</v>
      </c>
      <c r="L411" s="76">
        <f>($F$397*L206+$F$377)*$F$14</f>
        <v>2423.6944688281128</v>
      </c>
      <c r="M411" s="76">
        <f>$F$397*M206*$F$14</f>
        <v>1619.6809135163942</v>
      </c>
      <c r="N411" s="76">
        <f>$F$397*N206*$F$14</f>
        <v>1635.8777226515583</v>
      </c>
      <c r="O411" s="76">
        <f>($F$397*O206+$F$377)*$F$14</f>
        <v>2472.2864998780742</v>
      </c>
      <c r="P411" s="76">
        <f>$F$397*P206*$F$14</f>
        <v>1668.7588648768549</v>
      </c>
      <c r="Q411" s="76">
        <f>$F$397*Q206*$F$14</f>
        <v>1685.4464535256234</v>
      </c>
      <c r="R411" s="76">
        <f>($F$397*R206+$F$377)*$F$14</f>
        <v>2522.3509180608794</v>
      </c>
      <c r="S411" s="76">
        <f>$F$397*S206*$F$14</f>
        <v>1719.3239272414885</v>
      </c>
      <c r="T411" s="76">
        <f>$F$397*T206*$F$14</f>
        <v>1736.5171665139032</v>
      </c>
      <c r="U411" s="76">
        <f>($F$397*U206+$F$377)*$F$14</f>
        <v>2573.9323381790423</v>
      </c>
      <c r="V411" s="76">
        <f>$F$397*V206*$F$14</f>
        <v>1771.4211615608326</v>
      </c>
      <c r="W411" s="76">
        <f>$F$397*W206*$F$14</f>
        <v>1789.1353731764409</v>
      </c>
      <c r="X411" s="76">
        <f>($F$397*X206+$F$377)*$F$14</f>
        <v>2627.0767269082053</v>
      </c>
      <c r="Y411" s="76">
        <f>$F$397*Y206*$F$14</f>
        <v>1825.0969941772876</v>
      </c>
      <c r="Z411" s="77">
        <f>$F$397*Z206*$F$14</f>
        <v>1843.3479641190604</v>
      </c>
    </row>
    <row r="412" spans="1:26" x14ac:dyDescent="0.25">
      <c r="A412" s="27"/>
      <c r="B412" s="9" t="s">
        <v>62</v>
      </c>
      <c r="C412" s="2"/>
      <c r="D412" s="2"/>
      <c r="E412" s="2"/>
      <c r="F412" s="76">
        <f t="shared" ref="F412:Z412" si="109">F225</f>
        <v>3573.3043499999999</v>
      </c>
      <c r="G412" s="76">
        <f t="shared" si="109"/>
        <v>3573.3043499999999</v>
      </c>
      <c r="H412" s="76">
        <f t="shared" si="109"/>
        <v>3573.3043499999999</v>
      </c>
      <c r="I412" s="76">
        <f t="shared" si="109"/>
        <v>3573.3043499999999</v>
      </c>
      <c r="J412" s="76">
        <f t="shared" si="109"/>
        <v>3573.3043499999999</v>
      </c>
      <c r="K412" s="76">
        <f t="shared" si="109"/>
        <v>3573.3043499999999</v>
      </c>
      <c r="L412" s="76">
        <f t="shared" si="109"/>
        <v>3573.3043499999999</v>
      </c>
      <c r="M412" s="76">
        <f t="shared" si="109"/>
        <v>3573.3043499999999</v>
      </c>
      <c r="N412" s="76">
        <f t="shared" si="109"/>
        <v>3573.3043499999999</v>
      </c>
      <c r="O412" s="76">
        <f t="shared" si="109"/>
        <v>3573.3043499999999</v>
      </c>
      <c r="P412" s="76">
        <f t="shared" si="109"/>
        <v>3573.3043499999999</v>
      </c>
      <c r="Q412" s="76">
        <f t="shared" si="109"/>
        <v>3573.3043499999999</v>
      </c>
      <c r="R412" s="76">
        <f t="shared" si="109"/>
        <v>3573.3043499999999</v>
      </c>
      <c r="S412" s="76">
        <f t="shared" si="109"/>
        <v>3573.3043499999999</v>
      </c>
      <c r="T412" s="76">
        <f t="shared" si="109"/>
        <v>3573.3043499999999</v>
      </c>
      <c r="U412" s="76">
        <f t="shared" si="109"/>
        <v>3573.3043499999999</v>
      </c>
      <c r="V412" s="76">
        <f t="shared" si="109"/>
        <v>3573.3043499999999</v>
      </c>
      <c r="W412" s="76">
        <f t="shared" si="109"/>
        <v>3573.3043499999999</v>
      </c>
      <c r="X412" s="76">
        <f t="shared" si="109"/>
        <v>3573.3043499999999</v>
      </c>
      <c r="Y412" s="76">
        <f t="shared" si="109"/>
        <v>3573.3043499999999</v>
      </c>
      <c r="Z412" s="77">
        <f t="shared" si="109"/>
        <v>3573.3043499999999</v>
      </c>
    </row>
    <row r="413" spans="1:26" x14ac:dyDescent="0.25">
      <c r="A413" s="27"/>
      <c r="B413" s="9" t="s">
        <v>63</v>
      </c>
      <c r="C413" s="2"/>
      <c r="D413" s="2"/>
      <c r="E413" s="2"/>
      <c r="F413" s="76">
        <f t="shared" ref="F413:Z413" si="110">F226</f>
        <v>7579.7364999999982</v>
      </c>
      <c r="G413" s="76">
        <f t="shared" si="110"/>
        <v>7579.7364999999982</v>
      </c>
      <c r="H413" s="76">
        <f t="shared" si="110"/>
        <v>7579.7364999999982</v>
      </c>
      <c r="I413" s="76">
        <f t="shared" si="110"/>
        <v>7579.7364999999982</v>
      </c>
      <c r="J413" s="76">
        <f t="shared" si="110"/>
        <v>7579.7364999999982</v>
      </c>
      <c r="K413" s="76">
        <f t="shared" si="110"/>
        <v>7579.7364999999982</v>
      </c>
      <c r="L413" s="76">
        <f t="shared" si="110"/>
        <v>7579.7364999999982</v>
      </c>
      <c r="M413" s="76">
        <f t="shared" si="110"/>
        <v>7579.7364999999982</v>
      </c>
      <c r="N413" s="76">
        <f t="shared" si="110"/>
        <v>7579.7364999999982</v>
      </c>
      <c r="O413" s="76">
        <f t="shared" si="110"/>
        <v>7579.7364999999982</v>
      </c>
      <c r="P413" s="76">
        <f t="shared" si="110"/>
        <v>7579.7364999999982</v>
      </c>
      <c r="Q413" s="76">
        <f t="shared" si="110"/>
        <v>7579.7364999999982</v>
      </c>
      <c r="R413" s="76">
        <f t="shared" si="110"/>
        <v>7579.7364999999982</v>
      </c>
      <c r="S413" s="76">
        <f t="shared" si="110"/>
        <v>7579.7364999999982</v>
      </c>
      <c r="T413" s="76">
        <f t="shared" si="110"/>
        <v>7579.7364999999982</v>
      </c>
      <c r="U413" s="76">
        <f t="shared" si="110"/>
        <v>7579.7364999999982</v>
      </c>
      <c r="V413" s="76">
        <f t="shared" si="110"/>
        <v>7579.7364999999982</v>
      </c>
      <c r="W413" s="76">
        <f t="shared" si="110"/>
        <v>7579.7364999999982</v>
      </c>
      <c r="X413" s="76">
        <f t="shared" si="110"/>
        <v>7579.7364999999982</v>
      </c>
      <c r="Y413" s="76">
        <f t="shared" si="110"/>
        <v>7579.7364999999982</v>
      </c>
      <c r="Z413" s="77">
        <f t="shared" si="110"/>
        <v>7579.7364999999982</v>
      </c>
    </row>
    <row r="414" spans="1:26" x14ac:dyDescent="0.25">
      <c r="A414" s="27"/>
      <c r="B414" s="56" t="s">
        <v>57</v>
      </c>
      <c r="C414" s="39"/>
      <c r="D414" s="39"/>
      <c r="E414" s="39"/>
      <c r="F414" s="109">
        <f t="shared" ref="F414:Z414" si="111">SUM(F412:F413)-SUM(F410:F411)</f>
        <v>5645.2465924892676</v>
      </c>
      <c r="G414" s="109">
        <f t="shared" si="111"/>
        <v>6450.1895361802553</v>
      </c>
      <c r="H414" s="109">
        <f t="shared" si="111"/>
        <v>6434.9314093081521</v>
      </c>
      <c r="I414" s="109">
        <f t="shared" si="111"/>
        <v>5599.470701167329</v>
      </c>
      <c r="J414" s="109">
        <f t="shared" si="111"/>
        <v>6403.9558859450954</v>
      </c>
      <c r="K414" s="109">
        <f t="shared" si="111"/>
        <v>6388.2354225706413</v>
      </c>
      <c r="L414" s="109">
        <f t="shared" si="111"/>
        <v>5552.3077545624428</v>
      </c>
      <c r="M414" s="109">
        <f t="shared" si="111"/>
        <v>6356.3213098741617</v>
      </c>
      <c r="N414" s="109">
        <f t="shared" si="111"/>
        <v>6340.1245007389971</v>
      </c>
      <c r="O414" s="109">
        <f t="shared" si="111"/>
        <v>5503.7157235124814</v>
      </c>
      <c r="P414" s="109">
        <f t="shared" si="111"/>
        <v>6307.2433585137005</v>
      </c>
      <c r="Q414" s="109">
        <f t="shared" si="111"/>
        <v>6290.5557698649318</v>
      </c>
      <c r="R414" s="109">
        <f t="shared" si="111"/>
        <v>5453.6513053296767</v>
      </c>
      <c r="S414" s="109">
        <f t="shared" si="111"/>
        <v>6256.6782961490671</v>
      </c>
      <c r="T414" s="109">
        <f t="shared" si="111"/>
        <v>6239.4850568766524</v>
      </c>
      <c r="U414" s="109">
        <f t="shared" si="111"/>
        <v>5402.0698852115129</v>
      </c>
      <c r="V414" s="109">
        <f t="shared" si="111"/>
        <v>6204.5810618297228</v>
      </c>
      <c r="W414" s="109">
        <f t="shared" si="111"/>
        <v>6186.8668502141145</v>
      </c>
      <c r="X414" s="109">
        <f t="shared" si="111"/>
        <v>5348.9254964823504</v>
      </c>
      <c r="Y414" s="109">
        <f t="shared" si="111"/>
        <v>6150.9052292132683</v>
      </c>
      <c r="Z414" s="110">
        <f t="shared" si="111"/>
        <v>6132.654259271495</v>
      </c>
    </row>
    <row r="415" spans="1:26" x14ac:dyDescent="0.25">
      <c r="A415" s="27"/>
      <c r="B415" s="9"/>
      <c r="C415" s="2"/>
      <c r="D415" s="2"/>
      <c r="E415" s="2"/>
      <c r="F415" s="76"/>
      <c r="G415" s="76"/>
      <c r="H415" s="76"/>
      <c r="I415" s="76"/>
      <c r="J415" s="76"/>
      <c r="K415" s="76"/>
      <c r="L415" s="76"/>
      <c r="M415" s="76"/>
      <c r="N415" s="76"/>
      <c r="O415" s="76"/>
      <c r="P415" s="76"/>
      <c r="Q415" s="76"/>
      <c r="R415" s="76"/>
      <c r="S415" s="76"/>
      <c r="T415" s="76"/>
      <c r="U415" s="76"/>
      <c r="V415" s="76"/>
      <c r="W415" s="76"/>
      <c r="X415" s="76"/>
      <c r="Y415" s="76"/>
      <c r="Z415" s="77"/>
    </row>
    <row r="416" spans="1:26" ht="15.75" x14ac:dyDescent="0.25">
      <c r="A416" s="38"/>
      <c r="B416" s="108" t="s">
        <v>65</v>
      </c>
      <c r="C416" s="2"/>
      <c r="D416" s="2"/>
      <c r="E416" s="2"/>
      <c r="F416" s="76"/>
      <c r="G416" s="76"/>
      <c r="H416" s="76"/>
      <c r="I416" s="76"/>
      <c r="J416" s="76"/>
      <c r="K416" s="76"/>
      <c r="L416" s="76"/>
      <c r="M416" s="76"/>
      <c r="N416" s="76"/>
      <c r="O416" s="76"/>
      <c r="P416" s="76"/>
      <c r="Q416" s="78"/>
      <c r="R416" s="78"/>
      <c r="S416" s="78"/>
      <c r="T416" s="78"/>
      <c r="U416" s="78"/>
      <c r="V416" s="78"/>
      <c r="W416" s="78"/>
      <c r="X416" s="78"/>
      <c r="Y416" s="78"/>
      <c r="Z416" s="79"/>
    </row>
    <row r="417" spans="1:26" x14ac:dyDescent="0.25">
      <c r="A417" s="38"/>
      <c r="B417" s="106" t="s">
        <v>60</v>
      </c>
      <c r="C417" s="2"/>
      <c r="D417" s="2"/>
      <c r="E417" s="2"/>
      <c r="F417" s="76">
        <f t="shared" ref="F417:Z417" si="112">F230*$D$174</f>
        <v>3177.038626609442</v>
      </c>
      <c r="G417" s="76">
        <f t="shared" si="112"/>
        <v>4731.7596566523607</v>
      </c>
      <c r="H417" s="76">
        <f t="shared" si="112"/>
        <v>4731.7596566523607</v>
      </c>
      <c r="I417" s="76">
        <f t="shared" si="112"/>
        <v>4731.7596566523607</v>
      </c>
      <c r="J417" s="76">
        <f t="shared" si="112"/>
        <v>4731.7596566523607</v>
      </c>
      <c r="K417" s="76">
        <f t="shared" si="112"/>
        <v>4731.7596566523607</v>
      </c>
      <c r="L417" s="76">
        <f t="shared" si="112"/>
        <v>4731.7596566523607</v>
      </c>
      <c r="M417" s="76">
        <f t="shared" si="112"/>
        <v>4731.7596566523607</v>
      </c>
      <c r="N417" s="76">
        <f t="shared" si="112"/>
        <v>4731.7596566523607</v>
      </c>
      <c r="O417" s="76">
        <f t="shared" si="112"/>
        <v>4731.7596566523607</v>
      </c>
      <c r="P417" s="76">
        <f t="shared" si="112"/>
        <v>4731.7596566523607</v>
      </c>
      <c r="Q417" s="76">
        <f t="shared" si="112"/>
        <v>4731.7596566523607</v>
      </c>
      <c r="R417" s="76">
        <f t="shared" si="112"/>
        <v>4731.7596566523607</v>
      </c>
      <c r="S417" s="76">
        <f t="shared" si="112"/>
        <v>4731.7596566523607</v>
      </c>
      <c r="T417" s="76">
        <f t="shared" si="112"/>
        <v>4731.7596566523607</v>
      </c>
      <c r="U417" s="76">
        <f t="shared" si="112"/>
        <v>4731.7596566523607</v>
      </c>
      <c r="V417" s="76">
        <f t="shared" si="112"/>
        <v>4731.7596566523607</v>
      </c>
      <c r="W417" s="76">
        <f t="shared" si="112"/>
        <v>4731.7596566523607</v>
      </c>
      <c r="X417" s="76">
        <f t="shared" si="112"/>
        <v>4731.7596566523607</v>
      </c>
      <c r="Y417" s="76">
        <f t="shared" si="112"/>
        <v>4731.7596566523607</v>
      </c>
      <c r="Z417" s="77">
        <f t="shared" si="112"/>
        <v>4731.7596566523607</v>
      </c>
    </row>
    <row r="418" spans="1:26" x14ac:dyDescent="0.25">
      <c r="A418" s="38"/>
      <c r="B418" s="9" t="s">
        <v>61</v>
      </c>
      <c r="C418" s="2"/>
      <c r="D418" s="2"/>
      <c r="E418" s="2"/>
      <c r="F418" s="76">
        <f>($F$397*F206+$F$377)*$F$14</f>
        <v>2330.7556309012875</v>
      </c>
      <c r="G418" s="76">
        <f>$H$397*G206*$F$14</f>
        <v>1965.2855055221748</v>
      </c>
      <c r="H418" s="76">
        <f>$H$397*H206*$F$14</f>
        <v>1984.9383605773965</v>
      </c>
      <c r="I418" s="76">
        <f>($H$397*I206+$H$377)*$F$14</f>
        <v>2824.8377441831703</v>
      </c>
      <c r="J418" s="76">
        <f>$H$397*J206*$F$14</f>
        <v>2024.8356216250022</v>
      </c>
      <c r="K418" s="76">
        <f>$H$397*K206*$F$14</f>
        <v>2045.0839778412519</v>
      </c>
      <c r="L418" s="76">
        <f>($H$397*L206+$H$377)*$F$14</f>
        <v>2885.5848176196641</v>
      </c>
      <c r="M418" s="76">
        <f>$H$397*M206*$F$14</f>
        <v>2086.190165795861</v>
      </c>
      <c r="N418" s="76">
        <f>$H$397*N206*$F$14</f>
        <v>2107.0520674538197</v>
      </c>
      <c r="O418" s="76">
        <f>($H$397*O206+$H$377)*$F$14</f>
        <v>2948.1725881283583</v>
      </c>
      <c r="P418" s="76">
        <f>$H$397*P206*$F$14</f>
        <v>2149.4038140096418</v>
      </c>
      <c r="Q418" s="76">
        <f>$H$397*Q206*$F$14</f>
        <v>2170.8978521497384</v>
      </c>
      <c r="R418" s="76">
        <f>($H$397*R206+$H$377)*$F$14</f>
        <v>3012.6568306712352</v>
      </c>
      <c r="S418" s="76">
        <f>$H$397*S206*$F$14</f>
        <v>2214.5328989779482</v>
      </c>
      <c r="T418" s="76">
        <f>$H$397*T206*$F$14</f>
        <v>2236.6782279677273</v>
      </c>
      <c r="U418" s="76">
        <f>($H$397*U206+$H$377)*$F$14</f>
        <v>3079.0950102474048</v>
      </c>
      <c r="V418" s="76">
        <f>$H$397*V206*$F$14</f>
        <v>2281.6354603498789</v>
      </c>
      <c r="W418" s="76">
        <f>$H$397*W206*$F$14</f>
        <v>2304.4518149533778</v>
      </c>
      <c r="X418" s="76">
        <f>($H$397*X206+$H$377)*$F$14</f>
        <v>3147.5463331029114</v>
      </c>
      <c r="Y418" s="76">
        <f>$H$397*Y206*$F$14</f>
        <v>2350.7712964339407</v>
      </c>
      <c r="Z418" s="77">
        <f>$H$397*Z206*$F$14</f>
        <v>2374.2790093982803</v>
      </c>
    </row>
    <row r="419" spans="1:26" x14ac:dyDescent="0.25">
      <c r="A419" s="27"/>
      <c r="B419" s="9" t="s">
        <v>62</v>
      </c>
      <c r="C419" s="2"/>
      <c r="D419" s="2"/>
      <c r="E419" s="2"/>
      <c r="F419" s="76">
        <f t="shared" ref="F419:Z419" si="113">F232</f>
        <v>3573.3043499999999</v>
      </c>
      <c r="G419" s="76">
        <f t="shared" si="113"/>
        <v>3694.7966979000003</v>
      </c>
      <c r="H419" s="76">
        <f t="shared" si="113"/>
        <v>1452.3688358890477</v>
      </c>
      <c r="I419" s="76">
        <f t="shared" si="113"/>
        <v>1501.7493763092755</v>
      </c>
      <c r="J419" s="76">
        <f t="shared" si="113"/>
        <v>1552.8088551037908</v>
      </c>
      <c r="K419" s="76">
        <f t="shared" si="113"/>
        <v>1552.8088551037908</v>
      </c>
      <c r="L419" s="76">
        <f t="shared" si="113"/>
        <v>1552.8088551037908</v>
      </c>
      <c r="M419" s="76">
        <f t="shared" si="113"/>
        <v>1552.8088551037908</v>
      </c>
      <c r="N419" s="76">
        <f t="shared" si="113"/>
        <v>1552.8088551037908</v>
      </c>
      <c r="O419" s="76">
        <f t="shared" si="113"/>
        <v>1552.8088551037908</v>
      </c>
      <c r="P419" s="76">
        <f t="shared" si="113"/>
        <v>1552.8088551037908</v>
      </c>
      <c r="Q419" s="76">
        <f t="shared" si="113"/>
        <v>1552.8088551037908</v>
      </c>
      <c r="R419" s="76">
        <f t="shared" si="113"/>
        <v>1552.8088551037908</v>
      </c>
      <c r="S419" s="76">
        <f t="shared" si="113"/>
        <v>1552.8088551037908</v>
      </c>
      <c r="T419" s="76">
        <f t="shared" si="113"/>
        <v>1552.8088551037908</v>
      </c>
      <c r="U419" s="76">
        <f t="shared" si="113"/>
        <v>1552.8088551037908</v>
      </c>
      <c r="V419" s="76">
        <f t="shared" si="113"/>
        <v>1552.8088551037908</v>
      </c>
      <c r="W419" s="76">
        <f t="shared" si="113"/>
        <v>1552.8088551037908</v>
      </c>
      <c r="X419" s="76">
        <f t="shared" si="113"/>
        <v>1552.8088551037908</v>
      </c>
      <c r="Y419" s="76">
        <f t="shared" si="113"/>
        <v>1552.8088551037908</v>
      </c>
      <c r="Z419" s="77">
        <f t="shared" si="113"/>
        <v>1552.8088551037908</v>
      </c>
    </row>
    <row r="420" spans="1:26" x14ac:dyDescent="0.25">
      <c r="A420" s="27"/>
      <c r="B420" s="9" t="s">
        <v>63</v>
      </c>
      <c r="C420" s="2"/>
      <c r="D420" s="2"/>
      <c r="E420" s="2"/>
      <c r="F420" s="76">
        <f t="shared" ref="F420:Z420" si="114">F233</f>
        <v>7579.7364999999982</v>
      </c>
      <c r="G420" s="76">
        <f t="shared" si="114"/>
        <v>7837.4475409999977</v>
      </c>
      <c r="H420" s="76">
        <f t="shared" si="114"/>
        <v>12941.9005178232</v>
      </c>
      <c r="I420" s="76">
        <f t="shared" si="114"/>
        <v>13381.92513542919</v>
      </c>
      <c r="J420" s="76">
        <f t="shared" si="114"/>
        <v>13836.910590033782</v>
      </c>
      <c r="K420" s="76">
        <f t="shared" si="114"/>
        <v>13836.910590033782</v>
      </c>
      <c r="L420" s="76">
        <f t="shared" si="114"/>
        <v>13836.910590033782</v>
      </c>
      <c r="M420" s="76">
        <f t="shared" si="114"/>
        <v>13836.910590033782</v>
      </c>
      <c r="N420" s="76">
        <f t="shared" si="114"/>
        <v>13836.910590033782</v>
      </c>
      <c r="O420" s="76">
        <f t="shared" si="114"/>
        <v>13836.910590033782</v>
      </c>
      <c r="P420" s="76">
        <f t="shared" si="114"/>
        <v>13836.910590033782</v>
      </c>
      <c r="Q420" s="76">
        <f t="shared" si="114"/>
        <v>13836.910590033782</v>
      </c>
      <c r="R420" s="76">
        <f t="shared" si="114"/>
        <v>13836.910590033782</v>
      </c>
      <c r="S420" s="76">
        <f t="shared" si="114"/>
        <v>13836.910590033782</v>
      </c>
      <c r="T420" s="76">
        <f t="shared" si="114"/>
        <v>13836.910590033782</v>
      </c>
      <c r="U420" s="76">
        <f t="shared" si="114"/>
        <v>13836.910590033782</v>
      </c>
      <c r="V420" s="76">
        <f t="shared" si="114"/>
        <v>13836.910590033782</v>
      </c>
      <c r="W420" s="76">
        <f t="shared" si="114"/>
        <v>13836.910590033782</v>
      </c>
      <c r="X420" s="76">
        <f t="shared" si="114"/>
        <v>13836.910590033782</v>
      </c>
      <c r="Y420" s="76">
        <f t="shared" si="114"/>
        <v>13836.910590033782</v>
      </c>
      <c r="Z420" s="77">
        <f t="shared" si="114"/>
        <v>13836.910590033782</v>
      </c>
    </row>
    <row r="421" spans="1:26" x14ac:dyDescent="0.25">
      <c r="A421" s="27"/>
      <c r="B421" s="56" t="s">
        <v>57</v>
      </c>
      <c r="C421" s="39"/>
      <c r="D421" s="39"/>
      <c r="E421" s="39"/>
      <c r="F421" s="109">
        <f t="shared" ref="F421:Z421" si="115">SUM(F419:F420)-SUM(F417:F418)</f>
        <v>5645.2465924892676</v>
      </c>
      <c r="G421" s="109">
        <f t="shared" si="115"/>
        <v>4835.1990767254629</v>
      </c>
      <c r="H421" s="109">
        <f t="shared" si="115"/>
        <v>7677.5713364824896</v>
      </c>
      <c r="I421" s="109">
        <f t="shared" si="115"/>
        <v>7327.0771109029338</v>
      </c>
      <c r="J421" s="109">
        <f t="shared" si="115"/>
        <v>8633.1241668602088</v>
      </c>
      <c r="K421" s="109">
        <f t="shared" si="115"/>
        <v>8612.87581064396</v>
      </c>
      <c r="L421" s="109">
        <f t="shared" si="115"/>
        <v>7772.3749708655478</v>
      </c>
      <c r="M421" s="109">
        <f t="shared" si="115"/>
        <v>8571.7696226893513</v>
      </c>
      <c r="N421" s="109">
        <f t="shared" si="115"/>
        <v>8550.9077210313917</v>
      </c>
      <c r="O421" s="109">
        <f t="shared" si="115"/>
        <v>7709.7872003568536</v>
      </c>
      <c r="P421" s="109">
        <f t="shared" si="115"/>
        <v>8508.5559744755701</v>
      </c>
      <c r="Q421" s="109">
        <f t="shared" si="115"/>
        <v>8487.0619363354745</v>
      </c>
      <c r="R421" s="109">
        <f t="shared" si="115"/>
        <v>7645.3029578139767</v>
      </c>
      <c r="S421" s="109">
        <f t="shared" si="115"/>
        <v>8443.4268895072637</v>
      </c>
      <c r="T421" s="109">
        <f t="shared" si="115"/>
        <v>8421.2815605174837</v>
      </c>
      <c r="U421" s="109">
        <f t="shared" si="115"/>
        <v>7578.8647782378066</v>
      </c>
      <c r="V421" s="109">
        <f t="shared" si="115"/>
        <v>8376.3243281353334</v>
      </c>
      <c r="W421" s="109">
        <f t="shared" si="115"/>
        <v>8353.5079735318341</v>
      </c>
      <c r="X421" s="109">
        <f t="shared" si="115"/>
        <v>7510.4134553823005</v>
      </c>
      <c r="Y421" s="109">
        <f t="shared" si="115"/>
        <v>8307.1884920512712</v>
      </c>
      <c r="Z421" s="110">
        <f t="shared" si="115"/>
        <v>8283.6807790869316</v>
      </c>
    </row>
    <row r="422" spans="1:26" x14ac:dyDescent="0.25">
      <c r="A422" s="27"/>
      <c r="B422" s="9"/>
      <c r="C422" s="2"/>
      <c r="D422" s="2"/>
      <c r="E422" s="2"/>
      <c r="F422" s="76"/>
      <c r="G422" s="76"/>
      <c r="H422" s="76"/>
      <c r="I422" s="76"/>
      <c r="J422" s="76"/>
      <c r="K422" s="76"/>
      <c r="L422" s="76"/>
      <c r="M422" s="76"/>
      <c r="N422" s="76"/>
      <c r="O422" s="76"/>
      <c r="P422" s="76"/>
      <c r="Q422" s="78"/>
      <c r="R422" s="78"/>
      <c r="S422" s="78"/>
      <c r="T422" s="78"/>
      <c r="U422" s="78"/>
      <c r="V422" s="78"/>
      <c r="W422" s="78"/>
      <c r="X422" s="78"/>
      <c r="Y422" s="78"/>
      <c r="Z422" s="75"/>
    </row>
    <row r="423" spans="1:26" x14ac:dyDescent="0.25">
      <c r="A423" s="27"/>
      <c r="B423" s="9" t="s">
        <v>201</v>
      </c>
      <c r="C423" s="2"/>
      <c r="D423" s="2"/>
      <c r="E423" s="2"/>
      <c r="F423" s="76"/>
      <c r="G423" s="76"/>
      <c r="H423" s="76"/>
      <c r="I423" s="76"/>
      <c r="J423" s="76"/>
      <c r="K423" s="76"/>
      <c r="L423" s="76"/>
      <c r="M423" s="76"/>
      <c r="N423" s="76"/>
      <c r="O423" s="76"/>
      <c r="P423" s="76"/>
      <c r="Q423" s="78"/>
      <c r="R423" s="78"/>
      <c r="S423" s="78"/>
      <c r="T423" s="78"/>
      <c r="U423" s="78"/>
      <c r="V423" s="78"/>
      <c r="W423" s="78"/>
      <c r="X423" s="78"/>
      <c r="Y423" s="78"/>
      <c r="Z423" s="79"/>
    </row>
    <row r="424" spans="1:26" x14ac:dyDescent="0.25">
      <c r="A424" s="27"/>
      <c r="B424" s="106" t="s">
        <v>60</v>
      </c>
      <c r="C424" s="2"/>
      <c r="D424" s="2"/>
      <c r="E424" s="2"/>
      <c r="F424" s="76">
        <f t="shared" ref="F424:Z424" si="116">F417-F410</f>
        <v>0</v>
      </c>
      <c r="G424" s="76">
        <f t="shared" si="116"/>
        <v>1554.7210300429188</v>
      </c>
      <c r="H424" s="76">
        <f t="shared" si="116"/>
        <v>1554.7210300429188</v>
      </c>
      <c r="I424" s="76">
        <f t="shared" si="116"/>
        <v>1554.7210300429188</v>
      </c>
      <c r="J424" s="76">
        <f t="shared" si="116"/>
        <v>1554.7210300429188</v>
      </c>
      <c r="K424" s="76">
        <f t="shared" si="116"/>
        <v>1554.7210300429188</v>
      </c>
      <c r="L424" s="76">
        <f t="shared" si="116"/>
        <v>1554.7210300429188</v>
      </c>
      <c r="M424" s="76">
        <f t="shared" si="116"/>
        <v>1554.7210300429188</v>
      </c>
      <c r="N424" s="76">
        <f t="shared" si="116"/>
        <v>1554.7210300429188</v>
      </c>
      <c r="O424" s="76">
        <f t="shared" si="116"/>
        <v>1554.7210300429188</v>
      </c>
      <c r="P424" s="76">
        <f t="shared" si="116"/>
        <v>1554.7210300429188</v>
      </c>
      <c r="Q424" s="76">
        <f t="shared" si="116"/>
        <v>1554.7210300429188</v>
      </c>
      <c r="R424" s="76">
        <f t="shared" si="116"/>
        <v>1554.7210300429188</v>
      </c>
      <c r="S424" s="76">
        <f t="shared" si="116"/>
        <v>1554.7210300429188</v>
      </c>
      <c r="T424" s="76">
        <f t="shared" si="116"/>
        <v>1554.7210300429188</v>
      </c>
      <c r="U424" s="76">
        <f t="shared" si="116"/>
        <v>1554.7210300429188</v>
      </c>
      <c r="V424" s="76">
        <f t="shared" si="116"/>
        <v>1554.7210300429188</v>
      </c>
      <c r="W424" s="76">
        <f t="shared" si="116"/>
        <v>1554.7210300429188</v>
      </c>
      <c r="X424" s="76">
        <f t="shared" si="116"/>
        <v>1554.7210300429188</v>
      </c>
      <c r="Y424" s="76">
        <f t="shared" si="116"/>
        <v>1554.7210300429188</v>
      </c>
      <c r="Z424" s="77">
        <f t="shared" si="116"/>
        <v>1554.7210300429188</v>
      </c>
    </row>
    <row r="425" spans="1:26" x14ac:dyDescent="0.25">
      <c r="A425" s="27"/>
      <c r="B425" s="9" t="s">
        <v>61</v>
      </c>
      <c r="C425" s="2"/>
      <c r="D425" s="2"/>
      <c r="E425" s="2"/>
      <c r="F425" s="76">
        <f t="shared" ref="F425:Z425" si="117">F418-F411</f>
        <v>0</v>
      </c>
      <c r="G425" s="76">
        <f t="shared" si="117"/>
        <v>439.47281831187479</v>
      </c>
      <c r="H425" s="76">
        <f t="shared" si="117"/>
        <v>443.86754649499312</v>
      </c>
      <c r="I425" s="76">
        <f t="shared" si="117"/>
        <v>448.30622195994329</v>
      </c>
      <c r="J425" s="76">
        <f t="shared" si="117"/>
        <v>452.78928417954239</v>
      </c>
      <c r="K425" s="76">
        <f t="shared" si="117"/>
        <v>457.31717702133778</v>
      </c>
      <c r="L425" s="76">
        <f t="shared" si="117"/>
        <v>461.89034879155133</v>
      </c>
      <c r="M425" s="76">
        <f t="shared" si="117"/>
        <v>466.50925227946686</v>
      </c>
      <c r="N425" s="76">
        <f t="shared" si="117"/>
        <v>471.17434480226143</v>
      </c>
      <c r="O425" s="76">
        <f t="shared" si="117"/>
        <v>475.88608825028405</v>
      </c>
      <c r="P425" s="76">
        <f t="shared" si="117"/>
        <v>480.64494913278691</v>
      </c>
      <c r="Q425" s="76">
        <f t="shared" si="117"/>
        <v>485.45139862411497</v>
      </c>
      <c r="R425" s="76">
        <f t="shared" si="117"/>
        <v>490.30591261035579</v>
      </c>
      <c r="S425" s="76">
        <f t="shared" si="117"/>
        <v>495.20897173645972</v>
      </c>
      <c r="T425" s="76">
        <f t="shared" si="117"/>
        <v>500.161061453824</v>
      </c>
      <c r="U425" s="76">
        <f t="shared" si="117"/>
        <v>505.16267206836255</v>
      </c>
      <c r="V425" s="76">
        <f t="shared" si="117"/>
        <v>510.21429878904632</v>
      </c>
      <c r="W425" s="76">
        <f t="shared" si="117"/>
        <v>515.31644177693693</v>
      </c>
      <c r="X425" s="76">
        <f t="shared" si="117"/>
        <v>520.4696061947061</v>
      </c>
      <c r="Y425" s="76">
        <f t="shared" si="117"/>
        <v>525.67430225665316</v>
      </c>
      <c r="Z425" s="77">
        <f t="shared" si="117"/>
        <v>530.93104527921992</v>
      </c>
    </row>
    <row r="426" spans="1:26" x14ac:dyDescent="0.25">
      <c r="A426" s="27"/>
      <c r="B426" s="9" t="s">
        <v>62</v>
      </c>
      <c r="C426" s="2"/>
      <c r="D426" s="2"/>
      <c r="E426" s="2"/>
      <c r="F426" s="76">
        <f t="shared" ref="F426:Z426" si="118">F419-F412</f>
        <v>0</v>
      </c>
      <c r="G426" s="76">
        <f t="shared" si="118"/>
        <v>121.49234790000037</v>
      </c>
      <c r="H426" s="76">
        <f t="shared" si="118"/>
        <v>-2120.9355141109522</v>
      </c>
      <c r="I426" s="76">
        <f t="shared" si="118"/>
        <v>-2071.5549736907242</v>
      </c>
      <c r="J426" s="76">
        <f t="shared" si="118"/>
        <v>-2020.495494896209</v>
      </c>
      <c r="K426" s="76">
        <f t="shared" si="118"/>
        <v>-2020.495494896209</v>
      </c>
      <c r="L426" s="76">
        <f t="shared" si="118"/>
        <v>-2020.495494896209</v>
      </c>
      <c r="M426" s="76">
        <f t="shared" si="118"/>
        <v>-2020.495494896209</v>
      </c>
      <c r="N426" s="76">
        <f t="shared" si="118"/>
        <v>-2020.495494896209</v>
      </c>
      <c r="O426" s="76">
        <f t="shared" si="118"/>
        <v>-2020.495494896209</v>
      </c>
      <c r="P426" s="76">
        <f t="shared" si="118"/>
        <v>-2020.495494896209</v>
      </c>
      <c r="Q426" s="76">
        <f t="shared" si="118"/>
        <v>-2020.495494896209</v>
      </c>
      <c r="R426" s="76">
        <f t="shared" si="118"/>
        <v>-2020.495494896209</v>
      </c>
      <c r="S426" s="76">
        <f t="shared" si="118"/>
        <v>-2020.495494896209</v>
      </c>
      <c r="T426" s="76">
        <f t="shared" si="118"/>
        <v>-2020.495494896209</v>
      </c>
      <c r="U426" s="76">
        <f t="shared" si="118"/>
        <v>-2020.495494896209</v>
      </c>
      <c r="V426" s="76">
        <f t="shared" si="118"/>
        <v>-2020.495494896209</v>
      </c>
      <c r="W426" s="76">
        <f t="shared" si="118"/>
        <v>-2020.495494896209</v>
      </c>
      <c r="X426" s="76">
        <f t="shared" si="118"/>
        <v>-2020.495494896209</v>
      </c>
      <c r="Y426" s="76">
        <f t="shared" si="118"/>
        <v>-2020.495494896209</v>
      </c>
      <c r="Z426" s="77">
        <f t="shared" si="118"/>
        <v>-2020.495494896209</v>
      </c>
    </row>
    <row r="427" spans="1:26" x14ac:dyDescent="0.25">
      <c r="A427" s="27"/>
      <c r="B427" s="9" t="s">
        <v>63</v>
      </c>
      <c r="C427" s="2"/>
      <c r="D427" s="2"/>
      <c r="E427" s="2"/>
      <c r="F427" s="76">
        <f t="shared" ref="F427:Z427" si="119">F420-F413</f>
        <v>0</v>
      </c>
      <c r="G427" s="76">
        <f t="shared" si="119"/>
        <v>257.71104099999957</v>
      </c>
      <c r="H427" s="76">
        <f t="shared" si="119"/>
        <v>5362.1640178232019</v>
      </c>
      <c r="I427" s="76">
        <f t="shared" si="119"/>
        <v>5802.1886354291919</v>
      </c>
      <c r="J427" s="76">
        <f t="shared" si="119"/>
        <v>6257.1740900337836</v>
      </c>
      <c r="K427" s="76">
        <f t="shared" si="119"/>
        <v>6257.1740900337836</v>
      </c>
      <c r="L427" s="76">
        <f t="shared" si="119"/>
        <v>6257.1740900337836</v>
      </c>
      <c r="M427" s="76">
        <f t="shared" si="119"/>
        <v>6257.1740900337836</v>
      </c>
      <c r="N427" s="76">
        <f t="shared" si="119"/>
        <v>6257.1740900337836</v>
      </c>
      <c r="O427" s="76">
        <f t="shared" si="119"/>
        <v>6257.1740900337836</v>
      </c>
      <c r="P427" s="76">
        <f t="shared" si="119"/>
        <v>6257.1740900337836</v>
      </c>
      <c r="Q427" s="76">
        <f t="shared" si="119"/>
        <v>6257.1740900337836</v>
      </c>
      <c r="R427" s="76">
        <f t="shared" si="119"/>
        <v>6257.1740900337836</v>
      </c>
      <c r="S427" s="76">
        <f t="shared" si="119"/>
        <v>6257.1740900337836</v>
      </c>
      <c r="T427" s="76">
        <f t="shared" si="119"/>
        <v>6257.1740900337836</v>
      </c>
      <c r="U427" s="76">
        <f t="shared" si="119"/>
        <v>6257.1740900337836</v>
      </c>
      <c r="V427" s="76">
        <f t="shared" si="119"/>
        <v>6257.1740900337836</v>
      </c>
      <c r="W427" s="76">
        <f t="shared" si="119"/>
        <v>6257.1740900337836</v>
      </c>
      <c r="X427" s="76">
        <f t="shared" si="119"/>
        <v>6257.1740900337836</v>
      </c>
      <c r="Y427" s="76">
        <f t="shared" si="119"/>
        <v>6257.1740900337836</v>
      </c>
      <c r="Z427" s="77">
        <f t="shared" si="119"/>
        <v>6257.1740900337836</v>
      </c>
    </row>
    <row r="428" spans="1:26" x14ac:dyDescent="0.25">
      <c r="A428" s="27"/>
      <c r="B428" s="56" t="s">
        <v>15</v>
      </c>
      <c r="C428" s="39"/>
      <c r="D428" s="39"/>
      <c r="E428" s="39"/>
      <c r="F428" s="109">
        <f t="shared" ref="F428:Z428" si="120">F421-F414</f>
        <v>0</v>
      </c>
      <c r="G428" s="109">
        <f t="shared" si="120"/>
        <v>-1614.9904594547925</v>
      </c>
      <c r="H428" s="109">
        <f t="shared" si="120"/>
        <v>1242.6399271743376</v>
      </c>
      <c r="I428" s="109">
        <f t="shared" si="120"/>
        <v>1727.6064097356048</v>
      </c>
      <c r="J428" s="109">
        <f t="shared" si="120"/>
        <v>2229.1682809151134</v>
      </c>
      <c r="K428" s="109">
        <f t="shared" si="120"/>
        <v>2224.6403880733187</v>
      </c>
      <c r="L428" s="109">
        <f t="shared" si="120"/>
        <v>2220.0672163031049</v>
      </c>
      <c r="M428" s="109">
        <f t="shared" si="120"/>
        <v>2215.4483128151896</v>
      </c>
      <c r="N428" s="109">
        <f t="shared" si="120"/>
        <v>2210.7832202923946</v>
      </c>
      <c r="O428" s="109">
        <f t="shared" si="120"/>
        <v>2206.0714768443722</v>
      </c>
      <c r="P428" s="109">
        <f t="shared" si="120"/>
        <v>2201.3126159618696</v>
      </c>
      <c r="Q428" s="109">
        <f t="shared" si="120"/>
        <v>2196.5061664705427</v>
      </c>
      <c r="R428" s="109">
        <f t="shared" si="120"/>
        <v>2191.6516524843</v>
      </c>
      <c r="S428" s="109">
        <f t="shared" si="120"/>
        <v>2186.7485933581966</v>
      </c>
      <c r="T428" s="109">
        <f t="shared" si="120"/>
        <v>2181.7965036408314</v>
      </c>
      <c r="U428" s="109">
        <f t="shared" si="120"/>
        <v>2176.7948930262937</v>
      </c>
      <c r="V428" s="109">
        <f t="shared" si="120"/>
        <v>2171.7432663056106</v>
      </c>
      <c r="W428" s="109">
        <f t="shared" si="120"/>
        <v>2166.6411233177196</v>
      </c>
      <c r="X428" s="109">
        <f t="shared" si="120"/>
        <v>2161.4879588999502</v>
      </c>
      <c r="Y428" s="109">
        <f t="shared" si="120"/>
        <v>2156.2832628380029</v>
      </c>
      <c r="Z428" s="110">
        <f t="shared" si="120"/>
        <v>2151.0265198154366</v>
      </c>
    </row>
    <row r="429" spans="1:26" x14ac:dyDescent="0.25">
      <c r="A429" s="27"/>
      <c r="B429" s="9"/>
      <c r="C429" s="2"/>
      <c r="D429" s="2"/>
      <c r="E429" s="2"/>
      <c r="F429" s="76"/>
      <c r="G429" s="76"/>
      <c r="H429" s="76"/>
      <c r="I429" s="76"/>
      <c r="J429" s="76"/>
      <c r="K429" s="76"/>
      <c r="L429" s="76"/>
      <c r="M429" s="76"/>
      <c r="N429" s="76"/>
      <c r="O429" s="76"/>
      <c r="P429" s="76"/>
      <c r="Q429" s="76"/>
      <c r="R429" s="76"/>
      <c r="S429" s="76"/>
      <c r="T429" s="76"/>
      <c r="U429" s="76"/>
      <c r="V429" s="76"/>
      <c r="W429" s="76"/>
      <c r="X429" s="76"/>
      <c r="Y429" s="76"/>
      <c r="Z429" s="77"/>
    </row>
    <row r="430" spans="1:26" x14ac:dyDescent="0.25">
      <c r="A430" s="27"/>
      <c r="B430" s="111" t="s">
        <v>66</v>
      </c>
      <c r="C430" s="271">
        <f>NPV($D$168,H428:AA428)+G428</f>
        <v>13378.350707912283</v>
      </c>
      <c r="D430" s="4"/>
      <c r="E430" s="2"/>
      <c r="F430" s="76"/>
      <c r="G430" s="76"/>
      <c r="H430" s="76"/>
      <c r="I430" s="76"/>
      <c r="J430" s="76"/>
      <c r="K430" s="76"/>
      <c r="L430" s="76"/>
      <c r="M430" s="76"/>
      <c r="N430" s="76"/>
      <c r="O430" s="76"/>
      <c r="P430" s="76"/>
      <c r="Q430" s="76"/>
      <c r="R430" s="76"/>
      <c r="S430" s="76"/>
      <c r="T430" s="76"/>
      <c r="U430" s="76"/>
      <c r="V430" s="76"/>
      <c r="W430" s="76"/>
      <c r="X430" s="76"/>
      <c r="Y430" s="76"/>
      <c r="Z430" s="77"/>
    </row>
    <row r="431" spans="1:26" ht="15.75" thickBot="1" x14ac:dyDescent="0.3">
      <c r="A431" s="27"/>
      <c r="B431" s="16"/>
      <c r="C431" s="12"/>
      <c r="D431" s="12"/>
      <c r="E431" s="12"/>
      <c r="F431" s="80"/>
      <c r="G431" s="80"/>
      <c r="H431" s="80"/>
      <c r="I431" s="80"/>
      <c r="J431" s="80"/>
      <c r="K431" s="80"/>
      <c r="L431" s="80"/>
      <c r="M431" s="80"/>
      <c r="N431" s="80"/>
      <c r="O431" s="80"/>
      <c r="P431" s="80"/>
      <c r="Q431" s="81"/>
      <c r="R431" s="81"/>
      <c r="S431" s="81"/>
      <c r="T431" s="81"/>
      <c r="U431" s="81"/>
      <c r="V431" s="81"/>
      <c r="W431" s="81"/>
      <c r="X431" s="81"/>
      <c r="Y431" s="81"/>
      <c r="Z431" s="82"/>
    </row>
    <row r="432" spans="1:26" ht="15.75" thickBot="1" x14ac:dyDescent="0.3">
      <c r="B432" s="4"/>
      <c r="C432" s="4"/>
      <c r="D432" s="4"/>
      <c r="E432" s="4"/>
      <c r="F432" s="26"/>
      <c r="G432" s="26"/>
      <c r="H432" s="26"/>
      <c r="I432" s="26"/>
      <c r="J432" s="26"/>
      <c r="K432" s="26"/>
      <c r="L432" s="26"/>
      <c r="M432" s="26"/>
      <c r="N432" s="26"/>
      <c r="O432" s="26"/>
      <c r="P432" s="26"/>
    </row>
    <row r="433" spans="1:26" x14ac:dyDescent="0.25">
      <c r="A433" s="1"/>
      <c r="B433" s="48" t="s">
        <v>273</v>
      </c>
      <c r="C433" s="49"/>
      <c r="D433" s="49"/>
      <c r="E433" s="50"/>
      <c r="F433" s="50"/>
      <c r="G433" s="50"/>
      <c r="H433" s="50"/>
      <c r="I433" s="50"/>
      <c r="J433" s="50"/>
      <c r="K433" s="50"/>
      <c r="L433" s="50"/>
      <c r="M433" s="50"/>
      <c r="N433" s="50"/>
      <c r="O433" s="50"/>
      <c r="P433" s="50"/>
      <c r="Q433" s="50"/>
      <c r="R433" s="50"/>
      <c r="S433" s="50"/>
      <c r="T433" s="50"/>
      <c r="U433" s="50"/>
      <c r="V433" s="50"/>
      <c r="W433" s="50"/>
      <c r="X433" s="50"/>
      <c r="Y433" s="50"/>
      <c r="Z433" s="51"/>
    </row>
    <row r="434" spans="1:26" x14ac:dyDescent="0.25">
      <c r="A434" s="1"/>
      <c r="B434" s="154"/>
      <c r="C434" s="142"/>
      <c r="D434" s="142"/>
      <c r="E434" s="143" t="s">
        <v>8</v>
      </c>
      <c r="F434" s="144">
        <v>0</v>
      </c>
      <c r="G434" s="144">
        <v>1</v>
      </c>
      <c r="H434" s="144">
        <v>2</v>
      </c>
      <c r="I434" s="144">
        <v>3</v>
      </c>
      <c r="J434" s="144">
        <v>4</v>
      </c>
      <c r="K434" s="144">
        <v>5</v>
      </c>
      <c r="L434" s="144">
        <v>6</v>
      </c>
      <c r="M434" s="144">
        <v>7</v>
      </c>
      <c r="N434" s="144">
        <v>8</v>
      </c>
      <c r="O434" s="144">
        <v>9</v>
      </c>
      <c r="P434" s="144">
        <v>10</v>
      </c>
      <c r="Q434" s="144">
        <v>11</v>
      </c>
      <c r="R434" s="144">
        <v>12</v>
      </c>
      <c r="S434" s="144">
        <v>13</v>
      </c>
      <c r="T434" s="144">
        <v>14</v>
      </c>
      <c r="U434" s="144">
        <v>15</v>
      </c>
      <c r="V434" s="144">
        <v>16</v>
      </c>
      <c r="W434" s="144">
        <v>17</v>
      </c>
      <c r="X434" s="144">
        <v>18</v>
      </c>
      <c r="Y434" s="144">
        <v>19</v>
      </c>
      <c r="Z434" s="145">
        <v>20</v>
      </c>
    </row>
    <row r="435" spans="1:26" x14ac:dyDescent="0.25">
      <c r="B435" s="9"/>
      <c r="C435" s="2"/>
      <c r="D435" s="2"/>
      <c r="E435" s="2"/>
      <c r="F435" s="74"/>
      <c r="G435" s="74"/>
      <c r="H435" s="74"/>
      <c r="I435" s="74"/>
      <c r="J435" s="74"/>
      <c r="K435" s="74"/>
      <c r="L435" s="74"/>
      <c r="M435" s="74"/>
      <c r="N435" s="74"/>
      <c r="O435" s="74"/>
      <c r="P435" s="74"/>
      <c r="Q435" s="74"/>
      <c r="R435" s="74"/>
      <c r="S435" s="74"/>
      <c r="T435" s="74"/>
      <c r="U435" s="74"/>
      <c r="V435" s="74"/>
      <c r="W435" s="74"/>
      <c r="X435" s="74"/>
      <c r="Y435" s="74"/>
      <c r="Z435" s="75"/>
    </row>
    <row r="436" spans="1:26" s="69" customFormat="1" ht="15.75" x14ac:dyDescent="0.25">
      <c r="B436" s="107" t="s">
        <v>64</v>
      </c>
      <c r="C436" s="4"/>
      <c r="D436" s="4"/>
      <c r="E436" s="4"/>
      <c r="F436" s="76"/>
      <c r="G436" s="76"/>
      <c r="H436" s="76"/>
      <c r="I436" s="76"/>
      <c r="J436" s="76"/>
      <c r="K436" s="76"/>
      <c r="L436" s="76"/>
      <c r="M436" s="76"/>
      <c r="N436" s="76"/>
      <c r="O436" s="76"/>
      <c r="P436" s="76"/>
      <c r="Q436" s="76"/>
      <c r="R436" s="76"/>
      <c r="S436" s="76"/>
      <c r="T436" s="76"/>
      <c r="U436" s="76"/>
      <c r="V436" s="76"/>
      <c r="W436" s="76"/>
      <c r="X436" s="76"/>
      <c r="Y436" s="76"/>
      <c r="Z436" s="77"/>
    </row>
    <row r="437" spans="1:26" s="69" customFormat="1" x14ac:dyDescent="0.25">
      <c r="B437" s="106" t="s">
        <v>60</v>
      </c>
      <c r="C437" s="4"/>
      <c r="D437" s="4"/>
      <c r="E437" s="4"/>
      <c r="F437" s="76">
        <f t="shared" ref="F437:Z437" si="121">F250*$D$174</f>
        <v>3177.038626609442</v>
      </c>
      <c r="G437" s="76">
        <f t="shared" si="121"/>
        <v>3177.038626609442</v>
      </c>
      <c r="H437" s="76">
        <f t="shared" si="121"/>
        <v>3177.038626609442</v>
      </c>
      <c r="I437" s="76">
        <f t="shared" si="121"/>
        <v>3177.038626609442</v>
      </c>
      <c r="J437" s="76">
        <f t="shared" si="121"/>
        <v>3177.038626609442</v>
      </c>
      <c r="K437" s="76">
        <f t="shared" si="121"/>
        <v>3177.038626609442</v>
      </c>
      <c r="L437" s="76">
        <f t="shared" si="121"/>
        <v>3177.038626609442</v>
      </c>
      <c r="M437" s="76">
        <f t="shared" si="121"/>
        <v>3177.038626609442</v>
      </c>
      <c r="N437" s="76">
        <f t="shared" si="121"/>
        <v>3177.038626609442</v>
      </c>
      <c r="O437" s="76">
        <f t="shared" si="121"/>
        <v>3177.038626609442</v>
      </c>
      <c r="P437" s="76">
        <f t="shared" si="121"/>
        <v>3177.038626609442</v>
      </c>
      <c r="Q437" s="76">
        <f t="shared" si="121"/>
        <v>3177.038626609442</v>
      </c>
      <c r="R437" s="76">
        <f t="shared" si="121"/>
        <v>3177.038626609442</v>
      </c>
      <c r="S437" s="76">
        <f t="shared" si="121"/>
        <v>3177.038626609442</v>
      </c>
      <c r="T437" s="76">
        <f t="shared" si="121"/>
        <v>3177.038626609442</v>
      </c>
      <c r="U437" s="76">
        <f t="shared" si="121"/>
        <v>3177.038626609442</v>
      </c>
      <c r="V437" s="76">
        <f t="shared" si="121"/>
        <v>3177.038626609442</v>
      </c>
      <c r="W437" s="76">
        <f t="shared" si="121"/>
        <v>3177.038626609442</v>
      </c>
      <c r="X437" s="76">
        <f t="shared" si="121"/>
        <v>3177.038626609442</v>
      </c>
      <c r="Y437" s="76">
        <f t="shared" si="121"/>
        <v>3177.038626609442</v>
      </c>
      <c r="Z437" s="77">
        <f t="shared" si="121"/>
        <v>3177.038626609442</v>
      </c>
    </row>
    <row r="438" spans="1:26" x14ac:dyDescent="0.25">
      <c r="A438" s="27"/>
      <c r="B438" s="9" t="s">
        <v>61</v>
      </c>
      <c r="C438" s="2"/>
      <c r="D438" s="2"/>
      <c r="E438" s="2"/>
      <c r="F438" s="76">
        <f t="shared" ref="F438:Z438" si="122">F411</f>
        <v>2330.7556309012875</v>
      </c>
      <c r="G438" s="76">
        <f t="shared" si="122"/>
        <v>1525.8126872103001</v>
      </c>
      <c r="H438" s="76">
        <f t="shared" si="122"/>
        <v>1541.0708140824033</v>
      </c>
      <c r="I438" s="76">
        <f t="shared" si="122"/>
        <v>2376.5315222232271</v>
      </c>
      <c r="J438" s="76">
        <f t="shared" si="122"/>
        <v>1572.0463374454598</v>
      </c>
      <c r="K438" s="76">
        <f t="shared" si="122"/>
        <v>1587.7668008199141</v>
      </c>
      <c r="L438" s="76">
        <f t="shared" si="122"/>
        <v>2423.6944688281128</v>
      </c>
      <c r="M438" s="76">
        <f t="shared" si="122"/>
        <v>1619.6809135163942</v>
      </c>
      <c r="N438" s="76">
        <f t="shared" si="122"/>
        <v>1635.8777226515583</v>
      </c>
      <c r="O438" s="76">
        <f t="shared" si="122"/>
        <v>2472.2864998780742</v>
      </c>
      <c r="P438" s="76">
        <f t="shared" si="122"/>
        <v>1668.7588648768549</v>
      </c>
      <c r="Q438" s="76">
        <f t="shared" si="122"/>
        <v>1685.4464535256234</v>
      </c>
      <c r="R438" s="76">
        <f t="shared" si="122"/>
        <v>2522.3509180608794</v>
      </c>
      <c r="S438" s="76">
        <f t="shared" si="122"/>
        <v>1719.3239272414885</v>
      </c>
      <c r="T438" s="76">
        <f t="shared" si="122"/>
        <v>1736.5171665139032</v>
      </c>
      <c r="U438" s="76">
        <f t="shared" si="122"/>
        <v>2573.9323381790423</v>
      </c>
      <c r="V438" s="76">
        <f t="shared" si="122"/>
        <v>1771.4211615608326</v>
      </c>
      <c r="W438" s="76">
        <f t="shared" si="122"/>
        <v>1789.1353731764409</v>
      </c>
      <c r="X438" s="76">
        <f t="shared" si="122"/>
        <v>2627.0767269082053</v>
      </c>
      <c r="Y438" s="76">
        <f t="shared" si="122"/>
        <v>1825.0969941772876</v>
      </c>
      <c r="Z438" s="77">
        <f t="shared" si="122"/>
        <v>1843.3479641190604</v>
      </c>
    </row>
    <row r="439" spans="1:26" x14ac:dyDescent="0.25">
      <c r="A439" s="27"/>
      <c r="B439" s="9" t="s">
        <v>262</v>
      </c>
      <c r="C439" s="2"/>
      <c r="D439" s="2"/>
      <c r="E439" s="2"/>
      <c r="F439" s="76"/>
      <c r="G439" s="76">
        <f>0.3*$F$14*($F$402*$D$174*G205+$F$403*$D$173)</f>
        <v>72.122066899141643</v>
      </c>
      <c r="H439" s="76"/>
      <c r="I439" s="76"/>
      <c r="J439" s="76"/>
      <c r="K439" s="76"/>
      <c r="L439" s="76"/>
      <c r="M439" s="76"/>
      <c r="N439" s="76"/>
      <c r="O439" s="76"/>
      <c r="P439" s="76">
        <f>0.3*$F$14*($F$402*$D$174*P205+$F$403*$D$173)</f>
        <v>72.122066899141643</v>
      </c>
      <c r="Q439" s="76"/>
      <c r="R439" s="76"/>
      <c r="S439" s="76"/>
      <c r="T439" s="76"/>
      <c r="U439" s="76"/>
      <c r="V439" s="76"/>
      <c r="W439" s="76"/>
      <c r="X439" s="76"/>
      <c r="Y439" s="76"/>
      <c r="Z439" s="77">
        <f>0.3*$F$14*($F$402*$D$174*Z205+$F$403*$D$173)</f>
        <v>72.122066899141643</v>
      </c>
    </row>
    <row r="440" spans="1:26" x14ac:dyDescent="0.25">
      <c r="A440" s="27"/>
      <c r="B440" s="9" t="s">
        <v>62</v>
      </c>
      <c r="C440" s="2"/>
      <c r="D440" s="2"/>
      <c r="E440" s="2"/>
      <c r="F440" s="76">
        <f t="shared" ref="F440:Z440" si="123">F253</f>
        <v>3573.3043499999999</v>
      </c>
      <c r="G440" s="76">
        <f t="shared" si="123"/>
        <v>2501.3130449999999</v>
      </c>
      <c r="H440" s="76">
        <f t="shared" si="123"/>
        <v>2501.3130449999999</v>
      </c>
      <c r="I440" s="76">
        <f t="shared" si="123"/>
        <v>2501.3130449999999</v>
      </c>
      <c r="J440" s="76">
        <f t="shared" si="123"/>
        <v>2855.0701756499998</v>
      </c>
      <c r="K440" s="76">
        <f t="shared" si="123"/>
        <v>3208.8273062999997</v>
      </c>
      <c r="L440" s="76">
        <f t="shared" si="123"/>
        <v>3573.3043499999999</v>
      </c>
      <c r="M440" s="76">
        <f t="shared" si="123"/>
        <v>3573.3043499999999</v>
      </c>
      <c r="N440" s="76">
        <f t="shared" si="123"/>
        <v>3573.3043499999999</v>
      </c>
      <c r="O440" s="76">
        <f t="shared" si="123"/>
        <v>3573.3043499999999</v>
      </c>
      <c r="P440" s="76">
        <f t="shared" si="123"/>
        <v>2501.3130449999999</v>
      </c>
      <c r="Q440" s="76">
        <f t="shared" si="123"/>
        <v>2501.3130449999999</v>
      </c>
      <c r="R440" s="76">
        <f t="shared" si="123"/>
        <v>2501.3130449999999</v>
      </c>
      <c r="S440" s="76">
        <f t="shared" si="123"/>
        <v>2855.0701756499998</v>
      </c>
      <c r="T440" s="76">
        <f t="shared" si="123"/>
        <v>3208.8273062999997</v>
      </c>
      <c r="U440" s="76">
        <f t="shared" si="123"/>
        <v>3573.3043499999999</v>
      </c>
      <c r="V440" s="76">
        <f t="shared" si="123"/>
        <v>3573.3043499999999</v>
      </c>
      <c r="W440" s="76">
        <f t="shared" si="123"/>
        <v>3573.3043499999999</v>
      </c>
      <c r="X440" s="76">
        <f t="shared" si="123"/>
        <v>3573.3043499999999</v>
      </c>
      <c r="Y440" s="76">
        <f t="shared" si="123"/>
        <v>3573.3043499999999</v>
      </c>
      <c r="Z440" s="77">
        <f t="shared" si="123"/>
        <v>2501.3130449999999</v>
      </c>
    </row>
    <row r="441" spans="1:26" x14ac:dyDescent="0.25">
      <c r="A441" s="27"/>
      <c r="B441" s="9" t="s">
        <v>63</v>
      </c>
      <c r="C441" s="2"/>
      <c r="D441" s="2"/>
      <c r="E441" s="2"/>
      <c r="F441" s="76">
        <f t="shared" ref="F441:Z441" si="124">F254</f>
        <v>7579.7364999999982</v>
      </c>
      <c r="G441" s="76">
        <f t="shared" si="124"/>
        <v>5305.8155499999984</v>
      </c>
      <c r="H441" s="76">
        <f t="shared" si="124"/>
        <v>5305.8155499999984</v>
      </c>
      <c r="I441" s="76">
        <f t="shared" si="124"/>
        <v>5305.8155499999984</v>
      </c>
      <c r="J441" s="76">
        <f t="shared" si="124"/>
        <v>6056.2094634999985</v>
      </c>
      <c r="K441" s="76">
        <f t="shared" si="124"/>
        <v>6806.6033769999976</v>
      </c>
      <c r="L441" s="76">
        <f t="shared" si="124"/>
        <v>7579.7364999999982</v>
      </c>
      <c r="M441" s="76">
        <f t="shared" si="124"/>
        <v>7579.7364999999982</v>
      </c>
      <c r="N441" s="76">
        <f t="shared" si="124"/>
        <v>7579.7364999999982</v>
      </c>
      <c r="O441" s="76">
        <f t="shared" si="124"/>
        <v>7579.7364999999982</v>
      </c>
      <c r="P441" s="76">
        <f t="shared" si="124"/>
        <v>5305.8155499999984</v>
      </c>
      <c r="Q441" s="76">
        <f t="shared" si="124"/>
        <v>5305.8155499999984</v>
      </c>
      <c r="R441" s="76">
        <f t="shared" si="124"/>
        <v>5305.8155499999984</v>
      </c>
      <c r="S441" s="76">
        <f t="shared" si="124"/>
        <v>6056.2094634999985</v>
      </c>
      <c r="T441" s="76">
        <f t="shared" si="124"/>
        <v>6806.6033769999976</v>
      </c>
      <c r="U441" s="76">
        <f t="shared" si="124"/>
        <v>7579.7364999999982</v>
      </c>
      <c r="V441" s="76">
        <f t="shared" si="124"/>
        <v>7579.7364999999982</v>
      </c>
      <c r="W441" s="76">
        <f t="shared" si="124"/>
        <v>7579.7364999999982</v>
      </c>
      <c r="X441" s="76">
        <f t="shared" si="124"/>
        <v>7579.7364999999982</v>
      </c>
      <c r="Y441" s="76">
        <f t="shared" si="124"/>
        <v>7579.7364999999982</v>
      </c>
      <c r="Z441" s="77">
        <f t="shared" si="124"/>
        <v>5305.8155499999984</v>
      </c>
    </row>
    <row r="442" spans="1:26" x14ac:dyDescent="0.25">
      <c r="A442" s="27"/>
      <c r="B442" s="56" t="s">
        <v>57</v>
      </c>
      <c r="C442" s="39"/>
      <c r="D442" s="39"/>
      <c r="E442" s="39"/>
      <c r="F442" s="109">
        <f t="shared" ref="F442:Z442" si="125">SUM(F440:F441)-SUM(F437:F439)</f>
        <v>5645.2465924892676</v>
      </c>
      <c r="G442" s="109">
        <f t="shared" si="125"/>
        <v>3032.1552142811142</v>
      </c>
      <c r="H442" s="109">
        <f t="shared" si="125"/>
        <v>3089.0191543081528</v>
      </c>
      <c r="I442" s="109">
        <f t="shared" si="125"/>
        <v>2253.5584461673297</v>
      </c>
      <c r="J442" s="109">
        <f t="shared" si="125"/>
        <v>4162.1946750950956</v>
      </c>
      <c r="K442" s="109">
        <f t="shared" si="125"/>
        <v>5250.625255870641</v>
      </c>
      <c r="L442" s="109">
        <f t="shared" si="125"/>
        <v>5552.3077545624428</v>
      </c>
      <c r="M442" s="109">
        <f t="shared" si="125"/>
        <v>6356.3213098741617</v>
      </c>
      <c r="N442" s="109">
        <f t="shared" si="125"/>
        <v>6340.1245007389971</v>
      </c>
      <c r="O442" s="109">
        <f t="shared" si="125"/>
        <v>5503.7157235124814</v>
      </c>
      <c r="P442" s="109">
        <f t="shared" si="125"/>
        <v>2889.2090366145594</v>
      </c>
      <c r="Q442" s="109">
        <f t="shared" si="125"/>
        <v>2944.6435148649325</v>
      </c>
      <c r="R442" s="109">
        <f t="shared" si="125"/>
        <v>2107.7390503296774</v>
      </c>
      <c r="S442" s="109">
        <f t="shared" si="125"/>
        <v>4014.9170852990674</v>
      </c>
      <c r="T442" s="109">
        <f t="shared" si="125"/>
        <v>5101.8748901766521</v>
      </c>
      <c r="U442" s="109">
        <f t="shared" si="125"/>
        <v>5402.0698852115129</v>
      </c>
      <c r="V442" s="109">
        <f t="shared" si="125"/>
        <v>6204.5810618297228</v>
      </c>
      <c r="W442" s="109">
        <f t="shared" si="125"/>
        <v>6186.8668502141145</v>
      </c>
      <c r="X442" s="109">
        <f t="shared" si="125"/>
        <v>5348.9254964823504</v>
      </c>
      <c r="Y442" s="109">
        <f t="shared" si="125"/>
        <v>6150.9052292132683</v>
      </c>
      <c r="Z442" s="110">
        <f t="shared" si="125"/>
        <v>2714.6199373723539</v>
      </c>
    </row>
    <row r="443" spans="1:26" x14ac:dyDescent="0.25">
      <c r="A443" s="27"/>
      <c r="B443" s="9"/>
      <c r="C443" s="2"/>
      <c r="D443" s="2"/>
      <c r="E443" s="2"/>
      <c r="F443" s="76"/>
      <c r="G443" s="76"/>
      <c r="H443" s="76"/>
      <c r="I443" s="76"/>
      <c r="J443" s="76"/>
      <c r="K443" s="76"/>
      <c r="L443" s="76"/>
      <c r="M443" s="76"/>
      <c r="N443" s="76"/>
      <c r="O443" s="76"/>
      <c r="P443" s="76"/>
      <c r="Q443" s="76"/>
      <c r="R443" s="76"/>
      <c r="S443" s="76"/>
      <c r="T443" s="76"/>
      <c r="U443" s="76"/>
      <c r="V443" s="76"/>
      <c r="W443" s="76"/>
      <c r="X443" s="76"/>
      <c r="Y443" s="76"/>
      <c r="Z443" s="77"/>
    </row>
    <row r="444" spans="1:26" ht="15.75" x14ac:dyDescent="0.25">
      <c r="A444" s="38"/>
      <c r="B444" s="108" t="s">
        <v>65</v>
      </c>
      <c r="C444" s="2"/>
      <c r="D444" s="2"/>
      <c r="E444" s="2"/>
      <c r="F444" s="76"/>
      <c r="G444" s="76"/>
      <c r="H444" s="76"/>
      <c r="I444" s="76"/>
      <c r="J444" s="76"/>
      <c r="K444" s="76"/>
      <c r="L444" s="76"/>
      <c r="M444" s="76"/>
      <c r="N444" s="76"/>
      <c r="O444" s="76"/>
      <c r="P444" s="76"/>
      <c r="Q444" s="78"/>
      <c r="R444" s="78"/>
      <c r="S444" s="78"/>
      <c r="T444" s="78"/>
      <c r="U444" s="78"/>
      <c r="V444" s="78"/>
      <c r="W444" s="78"/>
      <c r="X444" s="78"/>
      <c r="Y444" s="78"/>
      <c r="Z444" s="79"/>
    </row>
    <row r="445" spans="1:26" x14ac:dyDescent="0.25">
      <c r="A445" s="38"/>
      <c r="B445" s="106" t="s">
        <v>60</v>
      </c>
      <c r="C445" s="2"/>
      <c r="D445" s="2"/>
      <c r="E445" s="2"/>
      <c r="F445" s="76">
        <f t="shared" ref="F445:Z445" si="126">F258*$D$174</f>
        <v>3177.038626609442</v>
      </c>
      <c r="G445" s="76">
        <f t="shared" si="126"/>
        <v>4731.7596566523607</v>
      </c>
      <c r="H445" s="76">
        <f t="shared" si="126"/>
        <v>4731.7596566523607</v>
      </c>
      <c r="I445" s="76">
        <f t="shared" si="126"/>
        <v>4731.7596566523607</v>
      </c>
      <c r="J445" s="76">
        <f t="shared" si="126"/>
        <v>4731.7596566523607</v>
      </c>
      <c r="K445" s="76">
        <f t="shared" si="126"/>
        <v>4731.7596566523607</v>
      </c>
      <c r="L445" s="76">
        <f t="shared" si="126"/>
        <v>4731.7596566523607</v>
      </c>
      <c r="M445" s="76">
        <f t="shared" si="126"/>
        <v>4731.7596566523607</v>
      </c>
      <c r="N445" s="76">
        <f t="shared" si="126"/>
        <v>4731.7596566523607</v>
      </c>
      <c r="O445" s="76">
        <f t="shared" si="126"/>
        <v>4731.7596566523607</v>
      </c>
      <c r="P445" s="76">
        <f t="shared" si="126"/>
        <v>4731.7596566523607</v>
      </c>
      <c r="Q445" s="76">
        <f t="shared" si="126"/>
        <v>4731.7596566523607</v>
      </c>
      <c r="R445" s="76">
        <f t="shared" si="126"/>
        <v>4731.7596566523607</v>
      </c>
      <c r="S445" s="76">
        <f t="shared" si="126"/>
        <v>4731.7596566523607</v>
      </c>
      <c r="T445" s="76">
        <f t="shared" si="126"/>
        <v>4731.7596566523607</v>
      </c>
      <c r="U445" s="76">
        <f t="shared" si="126"/>
        <v>4731.7596566523607</v>
      </c>
      <c r="V445" s="76">
        <f t="shared" si="126"/>
        <v>4731.7596566523607</v>
      </c>
      <c r="W445" s="76">
        <f t="shared" si="126"/>
        <v>4731.7596566523607</v>
      </c>
      <c r="X445" s="76">
        <f t="shared" si="126"/>
        <v>4731.7596566523607</v>
      </c>
      <c r="Y445" s="76">
        <f t="shared" si="126"/>
        <v>4731.7596566523607</v>
      </c>
      <c r="Z445" s="77">
        <f t="shared" si="126"/>
        <v>4731.7596566523607</v>
      </c>
    </row>
    <row r="446" spans="1:26" x14ac:dyDescent="0.25">
      <c r="A446" s="38"/>
      <c r="B446" s="9" t="s">
        <v>61</v>
      </c>
      <c r="C446" s="2"/>
      <c r="D446" s="2"/>
      <c r="E446" s="2"/>
      <c r="F446" s="76">
        <f t="shared" ref="F446:Z446" si="127">F418</f>
        <v>2330.7556309012875</v>
      </c>
      <c r="G446" s="76">
        <f t="shared" si="127"/>
        <v>1965.2855055221748</v>
      </c>
      <c r="H446" s="76">
        <f t="shared" si="127"/>
        <v>1984.9383605773965</v>
      </c>
      <c r="I446" s="76">
        <f t="shared" si="127"/>
        <v>2824.8377441831703</v>
      </c>
      <c r="J446" s="76">
        <f t="shared" si="127"/>
        <v>2024.8356216250022</v>
      </c>
      <c r="K446" s="76">
        <f t="shared" si="127"/>
        <v>2045.0839778412519</v>
      </c>
      <c r="L446" s="76">
        <f t="shared" si="127"/>
        <v>2885.5848176196641</v>
      </c>
      <c r="M446" s="76">
        <f t="shared" si="127"/>
        <v>2086.190165795861</v>
      </c>
      <c r="N446" s="76">
        <f t="shared" si="127"/>
        <v>2107.0520674538197</v>
      </c>
      <c r="O446" s="76">
        <f t="shared" si="127"/>
        <v>2948.1725881283583</v>
      </c>
      <c r="P446" s="76">
        <f t="shared" si="127"/>
        <v>2149.4038140096418</v>
      </c>
      <c r="Q446" s="76">
        <f t="shared" si="127"/>
        <v>2170.8978521497384</v>
      </c>
      <c r="R446" s="76">
        <f t="shared" si="127"/>
        <v>3012.6568306712352</v>
      </c>
      <c r="S446" s="76">
        <f t="shared" si="127"/>
        <v>2214.5328989779482</v>
      </c>
      <c r="T446" s="76">
        <f t="shared" si="127"/>
        <v>2236.6782279677273</v>
      </c>
      <c r="U446" s="76">
        <f t="shared" si="127"/>
        <v>3079.0950102474048</v>
      </c>
      <c r="V446" s="76">
        <f t="shared" si="127"/>
        <v>2281.6354603498789</v>
      </c>
      <c r="W446" s="76">
        <f t="shared" si="127"/>
        <v>2304.4518149533778</v>
      </c>
      <c r="X446" s="76">
        <f t="shared" si="127"/>
        <v>3147.5463331029114</v>
      </c>
      <c r="Y446" s="76">
        <f t="shared" si="127"/>
        <v>2350.7712964339407</v>
      </c>
      <c r="Z446" s="77">
        <f t="shared" si="127"/>
        <v>2374.2790093982803</v>
      </c>
    </row>
    <row r="447" spans="1:26" x14ac:dyDescent="0.25">
      <c r="A447" s="38"/>
      <c r="B447" s="9" t="s">
        <v>262</v>
      </c>
      <c r="C447" s="2"/>
      <c r="D447" s="2"/>
      <c r="E447" s="2"/>
      <c r="F447" s="76"/>
      <c r="G447" s="76">
        <f>0.3*$F$14*($H$402*$D$174*G205+$H$403*$D$173)</f>
        <v>244.28694950643779</v>
      </c>
      <c r="H447" s="76"/>
      <c r="I447" s="76"/>
      <c r="J447" s="76"/>
      <c r="K447" s="76"/>
      <c r="L447" s="76"/>
      <c r="M447" s="76"/>
      <c r="N447" s="76"/>
      <c r="O447" s="76"/>
      <c r="P447" s="76">
        <f>0.3*$F$14*($H$402*$D$174*P205+$H$403*$D$173)</f>
        <v>244.28694950643779</v>
      </c>
      <c r="Q447" s="76"/>
      <c r="R447" s="76"/>
      <c r="S447" s="76"/>
      <c r="T447" s="76"/>
      <c r="U447" s="76"/>
      <c r="V447" s="76"/>
      <c r="W447" s="76"/>
      <c r="X447" s="76"/>
      <c r="Y447" s="76"/>
      <c r="Z447" s="77">
        <f>0.3*$F$14*($H$402*$D$174*Z205+$H$403*$D$173)</f>
        <v>244.28694950643779</v>
      </c>
    </row>
    <row r="448" spans="1:26" x14ac:dyDescent="0.25">
      <c r="A448" s="27"/>
      <c r="B448" s="9" t="s">
        <v>62</v>
      </c>
      <c r="C448" s="2"/>
      <c r="D448" s="2"/>
      <c r="E448" s="2"/>
      <c r="F448" s="76">
        <f t="shared" ref="F448:Z448" si="128">F261</f>
        <v>3573.3043499999999</v>
      </c>
      <c r="G448" s="76">
        <f t="shared" si="128"/>
        <v>2586.3576885299999</v>
      </c>
      <c r="H448" s="76">
        <f t="shared" si="128"/>
        <v>1016.6581851223333</v>
      </c>
      <c r="I448" s="76">
        <f t="shared" si="128"/>
        <v>1051.2245634164929</v>
      </c>
      <c r="J448" s="76">
        <f t="shared" si="128"/>
        <v>1240.6942752279288</v>
      </c>
      <c r="K448" s="76">
        <f t="shared" si="128"/>
        <v>1394.4223518832041</v>
      </c>
      <c r="L448" s="76">
        <f t="shared" si="128"/>
        <v>1552.8088551037908</v>
      </c>
      <c r="M448" s="76">
        <f t="shared" si="128"/>
        <v>1552.8088551037908</v>
      </c>
      <c r="N448" s="76">
        <f t="shared" si="128"/>
        <v>1552.8088551037908</v>
      </c>
      <c r="O448" s="76">
        <f t="shared" si="128"/>
        <v>1552.8088551037908</v>
      </c>
      <c r="P448" s="76">
        <f t="shared" si="128"/>
        <v>1086.9661985726534</v>
      </c>
      <c r="Q448" s="76">
        <f t="shared" si="128"/>
        <v>1086.9661985726534</v>
      </c>
      <c r="R448" s="76">
        <f t="shared" si="128"/>
        <v>1086.9661985726534</v>
      </c>
      <c r="S448" s="76">
        <f t="shared" si="128"/>
        <v>1240.6942752279288</v>
      </c>
      <c r="T448" s="76">
        <f t="shared" si="128"/>
        <v>1394.4223518832041</v>
      </c>
      <c r="U448" s="76">
        <f t="shared" si="128"/>
        <v>1552.8088551037908</v>
      </c>
      <c r="V448" s="76">
        <f t="shared" si="128"/>
        <v>1552.8088551037908</v>
      </c>
      <c r="W448" s="76">
        <f t="shared" si="128"/>
        <v>1552.8088551037908</v>
      </c>
      <c r="X448" s="76">
        <f t="shared" si="128"/>
        <v>1552.8088551037908</v>
      </c>
      <c r="Y448" s="76">
        <f t="shared" si="128"/>
        <v>1552.8088551037908</v>
      </c>
      <c r="Z448" s="77">
        <f t="shared" si="128"/>
        <v>1086.9661985726534</v>
      </c>
    </row>
    <row r="449" spans="1:26" x14ac:dyDescent="0.25">
      <c r="A449" s="27"/>
      <c r="B449" s="9" t="s">
        <v>63</v>
      </c>
      <c r="C449" s="2"/>
      <c r="D449" s="2"/>
      <c r="E449" s="2"/>
      <c r="F449" s="76">
        <f t="shared" ref="F449:Z449" si="129">F262</f>
        <v>7579.7364999999982</v>
      </c>
      <c r="G449" s="76">
        <f t="shared" si="129"/>
        <v>5486.2132786999982</v>
      </c>
      <c r="H449" s="76">
        <f t="shared" si="129"/>
        <v>9059.3303624762393</v>
      </c>
      <c r="I449" s="76">
        <f t="shared" si="129"/>
        <v>9367.3475948004325</v>
      </c>
      <c r="J449" s="76">
        <f t="shared" si="129"/>
        <v>11055.69156143699</v>
      </c>
      <c r="K449" s="76">
        <f t="shared" si="129"/>
        <v>12425.545709850336</v>
      </c>
      <c r="L449" s="76">
        <f t="shared" si="129"/>
        <v>13836.910590033782</v>
      </c>
      <c r="M449" s="76">
        <f t="shared" si="129"/>
        <v>13836.910590033782</v>
      </c>
      <c r="N449" s="76">
        <f t="shared" si="129"/>
        <v>13836.910590033782</v>
      </c>
      <c r="O449" s="76">
        <f t="shared" si="129"/>
        <v>13836.910590033782</v>
      </c>
      <c r="P449" s="76">
        <f t="shared" si="129"/>
        <v>9685.8374130236461</v>
      </c>
      <c r="Q449" s="76">
        <f t="shared" si="129"/>
        <v>9685.8374130236461</v>
      </c>
      <c r="R449" s="76">
        <f t="shared" si="129"/>
        <v>9685.8374130236461</v>
      </c>
      <c r="S449" s="76">
        <f t="shared" si="129"/>
        <v>11055.69156143699</v>
      </c>
      <c r="T449" s="76">
        <f t="shared" si="129"/>
        <v>12425.545709850336</v>
      </c>
      <c r="U449" s="76">
        <f t="shared" si="129"/>
        <v>13836.910590033782</v>
      </c>
      <c r="V449" s="76">
        <f t="shared" si="129"/>
        <v>13836.910590033782</v>
      </c>
      <c r="W449" s="76">
        <f t="shared" si="129"/>
        <v>13836.910590033782</v>
      </c>
      <c r="X449" s="76">
        <f t="shared" si="129"/>
        <v>13836.910590033782</v>
      </c>
      <c r="Y449" s="76">
        <f t="shared" si="129"/>
        <v>13836.910590033782</v>
      </c>
      <c r="Z449" s="77">
        <f t="shared" si="129"/>
        <v>9685.8374130236461</v>
      </c>
    </row>
    <row r="450" spans="1:26" x14ac:dyDescent="0.25">
      <c r="A450" s="27"/>
      <c r="B450" s="56" t="s">
        <v>57</v>
      </c>
      <c r="C450" s="39"/>
      <c r="D450" s="39"/>
      <c r="E450" s="39"/>
      <c r="F450" s="109">
        <f t="shared" ref="F450:Z450" si="130">SUM(F448:F449)-SUM(F445:F447)</f>
        <v>5645.2465924892676</v>
      </c>
      <c r="G450" s="109">
        <f t="shared" si="130"/>
        <v>1131.2388555490243</v>
      </c>
      <c r="H450" s="109">
        <f t="shared" si="130"/>
        <v>3359.2905303688149</v>
      </c>
      <c r="I450" s="109">
        <f t="shared" si="130"/>
        <v>2861.9747573813929</v>
      </c>
      <c r="J450" s="109">
        <f t="shared" si="130"/>
        <v>5539.7905583875554</v>
      </c>
      <c r="K450" s="109">
        <f t="shared" si="130"/>
        <v>7043.1244272399272</v>
      </c>
      <c r="L450" s="109">
        <f t="shared" si="130"/>
        <v>7772.3749708655478</v>
      </c>
      <c r="M450" s="109">
        <f t="shared" si="130"/>
        <v>8571.7696226893513</v>
      </c>
      <c r="N450" s="109">
        <f t="shared" si="130"/>
        <v>8550.9077210313917</v>
      </c>
      <c r="O450" s="109">
        <f t="shared" si="130"/>
        <v>7709.7872003568536</v>
      </c>
      <c r="P450" s="109">
        <f t="shared" si="130"/>
        <v>3647.3531914278601</v>
      </c>
      <c r="Q450" s="109">
        <f t="shared" si="130"/>
        <v>3870.1461027942014</v>
      </c>
      <c r="R450" s="109">
        <f t="shared" si="130"/>
        <v>3028.3871242727046</v>
      </c>
      <c r="S450" s="109">
        <f t="shared" si="130"/>
        <v>5350.0932810346094</v>
      </c>
      <c r="T450" s="109">
        <f t="shared" si="130"/>
        <v>6851.5301771134518</v>
      </c>
      <c r="U450" s="109">
        <f t="shared" si="130"/>
        <v>7578.8647782378066</v>
      </c>
      <c r="V450" s="109">
        <f t="shared" si="130"/>
        <v>8376.3243281353334</v>
      </c>
      <c r="W450" s="109">
        <f t="shared" si="130"/>
        <v>8353.5079735318341</v>
      </c>
      <c r="X450" s="109">
        <f t="shared" si="130"/>
        <v>7510.4134553823005</v>
      </c>
      <c r="Y450" s="109">
        <f t="shared" si="130"/>
        <v>8307.1884920512712</v>
      </c>
      <c r="Z450" s="110">
        <f t="shared" si="130"/>
        <v>3422.4779960392216</v>
      </c>
    </row>
    <row r="451" spans="1:26" x14ac:dyDescent="0.25">
      <c r="A451" s="27"/>
      <c r="B451" s="9"/>
      <c r="C451" s="2"/>
      <c r="D451" s="2"/>
      <c r="E451" s="2"/>
      <c r="F451" s="76"/>
      <c r="G451" s="76"/>
      <c r="H451" s="76"/>
      <c r="I451" s="76"/>
      <c r="J451" s="76"/>
      <c r="K451" s="76"/>
      <c r="L451" s="76"/>
      <c r="M451" s="76"/>
      <c r="N451" s="76"/>
      <c r="O451" s="76"/>
      <c r="P451" s="76"/>
      <c r="Q451" s="78"/>
      <c r="R451" s="78"/>
      <c r="S451" s="78"/>
      <c r="T451" s="78"/>
      <c r="U451" s="78"/>
      <c r="V451" s="78"/>
      <c r="W451" s="78"/>
      <c r="X451" s="78"/>
      <c r="Y451" s="78"/>
      <c r="Z451" s="75"/>
    </row>
    <row r="452" spans="1:26" x14ac:dyDescent="0.25">
      <c r="A452" s="27"/>
      <c r="B452" s="9" t="s">
        <v>201</v>
      </c>
      <c r="C452" s="2"/>
      <c r="D452" s="2"/>
      <c r="E452" s="2"/>
      <c r="F452" s="76"/>
      <c r="G452" s="76"/>
      <c r="H452" s="76"/>
      <c r="I452" s="76"/>
      <c r="J452" s="76"/>
      <c r="K452" s="76"/>
      <c r="L452" s="76"/>
      <c r="M452" s="76"/>
      <c r="N452" s="76"/>
      <c r="O452" s="76"/>
      <c r="P452" s="76"/>
      <c r="Q452" s="78"/>
      <c r="R452" s="78"/>
      <c r="S452" s="78"/>
      <c r="T452" s="78"/>
      <c r="U452" s="78"/>
      <c r="V452" s="78"/>
      <c r="W452" s="78"/>
      <c r="X452" s="78"/>
      <c r="Y452" s="78"/>
      <c r="Z452" s="79"/>
    </row>
    <row r="453" spans="1:26" x14ac:dyDescent="0.25">
      <c r="A453" s="27"/>
      <c r="B453" s="106" t="s">
        <v>60</v>
      </c>
      <c r="C453" s="2"/>
      <c r="D453" s="2"/>
      <c r="E453" s="2"/>
      <c r="F453" s="76">
        <f t="shared" ref="F453:Z453" si="131">F445-F437</f>
        <v>0</v>
      </c>
      <c r="G453" s="76">
        <f t="shared" si="131"/>
        <v>1554.7210300429188</v>
      </c>
      <c r="H453" s="76">
        <f t="shared" si="131"/>
        <v>1554.7210300429188</v>
      </c>
      <c r="I453" s="76">
        <f t="shared" si="131"/>
        <v>1554.7210300429188</v>
      </c>
      <c r="J453" s="76">
        <f t="shared" si="131"/>
        <v>1554.7210300429188</v>
      </c>
      <c r="K453" s="76">
        <f t="shared" si="131"/>
        <v>1554.7210300429188</v>
      </c>
      <c r="L453" s="76">
        <f t="shared" si="131"/>
        <v>1554.7210300429188</v>
      </c>
      <c r="M453" s="76">
        <f t="shared" si="131"/>
        <v>1554.7210300429188</v>
      </c>
      <c r="N453" s="76">
        <f t="shared" si="131"/>
        <v>1554.7210300429188</v>
      </c>
      <c r="O453" s="76">
        <f t="shared" si="131"/>
        <v>1554.7210300429188</v>
      </c>
      <c r="P453" s="76">
        <f t="shared" si="131"/>
        <v>1554.7210300429188</v>
      </c>
      <c r="Q453" s="76">
        <f t="shared" si="131"/>
        <v>1554.7210300429188</v>
      </c>
      <c r="R453" s="76">
        <f t="shared" si="131"/>
        <v>1554.7210300429188</v>
      </c>
      <c r="S453" s="76">
        <f t="shared" si="131"/>
        <v>1554.7210300429188</v>
      </c>
      <c r="T453" s="76">
        <f t="shared" si="131"/>
        <v>1554.7210300429188</v>
      </c>
      <c r="U453" s="76">
        <f t="shared" si="131"/>
        <v>1554.7210300429188</v>
      </c>
      <c r="V453" s="76">
        <f t="shared" si="131"/>
        <v>1554.7210300429188</v>
      </c>
      <c r="W453" s="76">
        <f t="shared" si="131"/>
        <v>1554.7210300429188</v>
      </c>
      <c r="X453" s="76">
        <f t="shared" si="131"/>
        <v>1554.7210300429188</v>
      </c>
      <c r="Y453" s="76">
        <f t="shared" si="131"/>
        <v>1554.7210300429188</v>
      </c>
      <c r="Z453" s="77">
        <f t="shared" si="131"/>
        <v>1554.7210300429188</v>
      </c>
    </row>
    <row r="454" spans="1:26" x14ac:dyDescent="0.25">
      <c r="A454" s="27"/>
      <c r="B454" s="9" t="s">
        <v>61</v>
      </c>
      <c r="C454" s="2"/>
      <c r="D454" s="2"/>
      <c r="E454" s="2"/>
      <c r="F454" s="76">
        <f t="shared" ref="F454:Z454" si="132">F446-F438</f>
        <v>0</v>
      </c>
      <c r="G454" s="76">
        <f t="shared" si="132"/>
        <v>439.47281831187479</v>
      </c>
      <c r="H454" s="76">
        <f t="shared" si="132"/>
        <v>443.86754649499312</v>
      </c>
      <c r="I454" s="76">
        <f t="shared" si="132"/>
        <v>448.30622195994329</v>
      </c>
      <c r="J454" s="76">
        <f t="shared" si="132"/>
        <v>452.78928417954239</v>
      </c>
      <c r="K454" s="76">
        <f t="shared" si="132"/>
        <v>457.31717702133778</v>
      </c>
      <c r="L454" s="76">
        <f t="shared" si="132"/>
        <v>461.89034879155133</v>
      </c>
      <c r="M454" s="76">
        <f t="shared" si="132"/>
        <v>466.50925227946686</v>
      </c>
      <c r="N454" s="76">
        <f t="shared" si="132"/>
        <v>471.17434480226143</v>
      </c>
      <c r="O454" s="76">
        <f t="shared" si="132"/>
        <v>475.88608825028405</v>
      </c>
      <c r="P454" s="76">
        <f t="shared" si="132"/>
        <v>480.64494913278691</v>
      </c>
      <c r="Q454" s="76">
        <f t="shared" si="132"/>
        <v>485.45139862411497</v>
      </c>
      <c r="R454" s="76">
        <f t="shared" si="132"/>
        <v>490.30591261035579</v>
      </c>
      <c r="S454" s="76">
        <f t="shared" si="132"/>
        <v>495.20897173645972</v>
      </c>
      <c r="T454" s="76">
        <f t="shared" si="132"/>
        <v>500.161061453824</v>
      </c>
      <c r="U454" s="76">
        <f t="shared" si="132"/>
        <v>505.16267206836255</v>
      </c>
      <c r="V454" s="76">
        <f t="shared" si="132"/>
        <v>510.21429878904632</v>
      </c>
      <c r="W454" s="76">
        <f t="shared" si="132"/>
        <v>515.31644177693693</v>
      </c>
      <c r="X454" s="76">
        <f t="shared" si="132"/>
        <v>520.4696061947061</v>
      </c>
      <c r="Y454" s="76">
        <f t="shared" si="132"/>
        <v>525.67430225665316</v>
      </c>
      <c r="Z454" s="77">
        <f t="shared" si="132"/>
        <v>530.93104527921992</v>
      </c>
    </row>
    <row r="455" spans="1:26" x14ac:dyDescent="0.25">
      <c r="A455" s="27"/>
      <c r="B455" s="9" t="s">
        <v>262</v>
      </c>
      <c r="C455" s="2"/>
      <c r="D455" s="2"/>
      <c r="E455" s="2"/>
      <c r="F455" s="76">
        <f t="shared" ref="F455:Z455" si="133">F447-F439</f>
        <v>0</v>
      </c>
      <c r="G455" s="76">
        <f t="shared" si="133"/>
        <v>172.16488260729614</v>
      </c>
      <c r="H455" s="76">
        <f t="shared" si="133"/>
        <v>0</v>
      </c>
      <c r="I455" s="76">
        <f t="shared" si="133"/>
        <v>0</v>
      </c>
      <c r="J455" s="76">
        <f t="shared" si="133"/>
        <v>0</v>
      </c>
      <c r="K455" s="76">
        <f t="shared" si="133"/>
        <v>0</v>
      </c>
      <c r="L455" s="76">
        <f t="shared" si="133"/>
        <v>0</v>
      </c>
      <c r="M455" s="76">
        <f t="shared" si="133"/>
        <v>0</v>
      </c>
      <c r="N455" s="76">
        <f t="shared" si="133"/>
        <v>0</v>
      </c>
      <c r="O455" s="76">
        <f t="shared" si="133"/>
        <v>0</v>
      </c>
      <c r="P455" s="76">
        <f t="shared" si="133"/>
        <v>172.16488260729614</v>
      </c>
      <c r="Q455" s="76">
        <f t="shared" si="133"/>
        <v>0</v>
      </c>
      <c r="R455" s="76">
        <f t="shared" si="133"/>
        <v>0</v>
      </c>
      <c r="S455" s="76">
        <f t="shared" si="133"/>
        <v>0</v>
      </c>
      <c r="T455" s="76">
        <f t="shared" si="133"/>
        <v>0</v>
      </c>
      <c r="U455" s="76">
        <f t="shared" si="133"/>
        <v>0</v>
      </c>
      <c r="V455" s="76">
        <f t="shared" si="133"/>
        <v>0</v>
      </c>
      <c r="W455" s="76">
        <f t="shared" si="133"/>
        <v>0</v>
      </c>
      <c r="X455" s="76">
        <f t="shared" si="133"/>
        <v>0</v>
      </c>
      <c r="Y455" s="76">
        <f t="shared" si="133"/>
        <v>0</v>
      </c>
      <c r="Z455" s="77">
        <f t="shared" si="133"/>
        <v>172.16488260729614</v>
      </c>
    </row>
    <row r="456" spans="1:26" x14ac:dyDescent="0.25">
      <c r="A456" s="27"/>
      <c r="B456" s="9" t="s">
        <v>62</v>
      </c>
      <c r="C456" s="2"/>
      <c r="D456" s="2"/>
      <c r="E456" s="2"/>
      <c r="F456" s="76">
        <f t="shared" ref="F456:Z456" si="134">F448-F440</f>
        <v>0</v>
      </c>
      <c r="G456" s="76">
        <f t="shared" si="134"/>
        <v>85.04464353000003</v>
      </c>
      <c r="H456" s="76">
        <f t="shared" si="134"/>
        <v>-1484.6548598776667</v>
      </c>
      <c r="I456" s="76">
        <f t="shared" si="134"/>
        <v>-1450.088481583507</v>
      </c>
      <c r="J456" s="76">
        <f t="shared" si="134"/>
        <v>-1614.375900422071</v>
      </c>
      <c r="K456" s="76">
        <f t="shared" si="134"/>
        <v>-1814.4049544167956</v>
      </c>
      <c r="L456" s="76">
        <f t="shared" si="134"/>
        <v>-2020.495494896209</v>
      </c>
      <c r="M456" s="76">
        <f t="shared" si="134"/>
        <v>-2020.495494896209</v>
      </c>
      <c r="N456" s="76">
        <f t="shared" si="134"/>
        <v>-2020.495494896209</v>
      </c>
      <c r="O456" s="76">
        <f t="shared" si="134"/>
        <v>-2020.495494896209</v>
      </c>
      <c r="P456" s="76">
        <f t="shared" si="134"/>
        <v>-1414.3468464273465</v>
      </c>
      <c r="Q456" s="76">
        <f t="shared" si="134"/>
        <v>-1414.3468464273465</v>
      </c>
      <c r="R456" s="76">
        <f t="shared" si="134"/>
        <v>-1414.3468464273465</v>
      </c>
      <c r="S456" s="76">
        <f t="shared" si="134"/>
        <v>-1614.375900422071</v>
      </c>
      <c r="T456" s="76">
        <f t="shared" si="134"/>
        <v>-1814.4049544167956</v>
      </c>
      <c r="U456" s="76">
        <f t="shared" si="134"/>
        <v>-2020.495494896209</v>
      </c>
      <c r="V456" s="76">
        <f t="shared" si="134"/>
        <v>-2020.495494896209</v>
      </c>
      <c r="W456" s="76">
        <f t="shared" si="134"/>
        <v>-2020.495494896209</v>
      </c>
      <c r="X456" s="76">
        <f t="shared" si="134"/>
        <v>-2020.495494896209</v>
      </c>
      <c r="Y456" s="76">
        <f t="shared" si="134"/>
        <v>-2020.495494896209</v>
      </c>
      <c r="Z456" s="77">
        <f t="shared" si="134"/>
        <v>-1414.3468464273465</v>
      </c>
    </row>
    <row r="457" spans="1:26" x14ac:dyDescent="0.25">
      <c r="A457" s="27"/>
      <c r="B457" s="9" t="s">
        <v>63</v>
      </c>
      <c r="C457" s="2"/>
      <c r="D457" s="2"/>
      <c r="E457" s="2"/>
      <c r="F457" s="76">
        <f t="shared" ref="F457:Z457" si="135">F449-F441</f>
        <v>0</v>
      </c>
      <c r="G457" s="76">
        <f t="shared" si="135"/>
        <v>180.39772869999979</v>
      </c>
      <c r="H457" s="76">
        <f t="shared" si="135"/>
        <v>3753.5148124762409</v>
      </c>
      <c r="I457" s="76">
        <f t="shared" si="135"/>
        <v>4061.5320448004341</v>
      </c>
      <c r="J457" s="76">
        <f t="shared" si="135"/>
        <v>4999.4820979369915</v>
      </c>
      <c r="K457" s="76">
        <f t="shared" si="135"/>
        <v>5618.9423328503381</v>
      </c>
      <c r="L457" s="76">
        <f t="shared" si="135"/>
        <v>6257.1740900337836</v>
      </c>
      <c r="M457" s="76">
        <f t="shared" si="135"/>
        <v>6257.1740900337836</v>
      </c>
      <c r="N457" s="76">
        <f t="shared" si="135"/>
        <v>6257.1740900337836</v>
      </c>
      <c r="O457" s="76">
        <f t="shared" si="135"/>
        <v>6257.1740900337836</v>
      </c>
      <c r="P457" s="76">
        <f t="shared" si="135"/>
        <v>4380.0218630236477</v>
      </c>
      <c r="Q457" s="76">
        <f t="shared" si="135"/>
        <v>4380.0218630236477</v>
      </c>
      <c r="R457" s="76">
        <f t="shared" si="135"/>
        <v>4380.0218630236477</v>
      </c>
      <c r="S457" s="76">
        <f t="shared" si="135"/>
        <v>4999.4820979369915</v>
      </c>
      <c r="T457" s="76">
        <f t="shared" si="135"/>
        <v>5618.9423328503381</v>
      </c>
      <c r="U457" s="76">
        <f t="shared" si="135"/>
        <v>6257.1740900337836</v>
      </c>
      <c r="V457" s="76">
        <f t="shared" si="135"/>
        <v>6257.1740900337836</v>
      </c>
      <c r="W457" s="76">
        <f t="shared" si="135"/>
        <v>6257.1740900337836</v>
      </c>
      <c r="X457" s="76">
        <f t="shared" si="135"/>
        <v>6257.1740900337836</v>
      </c>
      <c r="Y457" s="76">
        <f t="shared" si="135"/>
        <v>6257.1740900337836</v>
      </c>
      <c r="Z457" s="77">
        <f t="shared" si="135"/>
        <v>4380.0218630236477</v>
      </c>
    </row>
    <row r="458" spans="1:26" x14ac:dyDescent="0.25">
      <c r="A458" s="27"/>
      <c r="B458" s="56" t="s">
        <v>15</v>
      </c>
      <c r="C458" s="39"/>
      <c r="D458" s="39"/>
      <c r="E458" s="39"/>
      <c r="F458" s="109">
        <f t="shared" ref="F458:Z458" si="136">F450-F442</f>
        <v>0</v>
      </c>
      <c r="G458" s="109">
        <f t="shared" si="136"/>
        <v>-1900.91635873209</v>
      </c>
      <c r="H458" s="109">
        <f t="shared" si="136"/>
        <v>270.27137606066208</v>
      </c>
      <c r="I458" s="109">
        <f t="shared" si="136"/>
        <v>608.41631121406317</v>
      </c>
      <c r="J458" s="109">
        <f t="shared" si="136"/>
        <v>1377.5958832924598</v>
      </c>
      <c r="K458" s="109">
        <f t="shared" si="136"/>
        <v>1792.4991713692862</v>
      </c>
      <c r="L458" s="109">
        <f t="shared" si="136"/>
        <v>2220.0672163031049</v>
      </c>
      <c r="M458" s="109">
        <f t="shared" si="136"/>
        <v>2215.4483128151896</v>
      </c>
      <c r="N458" s="109">
        <f t="shared" si="136"/>
        <v>2210.7832202923946</v>
      </c>
      <c r="O458" s="109">
        <f t="shared" si="136"/>
        <v>2206.0714768443722</v>
      </c>
      <c r="P458" s="109">
        <f t="shared" si="136"/>
        <v>758.1441548133007</v>
      </c>
      <c r="Q458" s="109">
        <f t="shared" si="136"/>
        <v>925.50258792926888</v>
      </c>
      <c r="R458" s="109">
        <f t="shared" si="136"/>
        <v>920.64807394302716</v>
      </c>
      <c r="S458" s="109">
        <f t="shared" si="136"/>
        <v>1335.176195735542</v>
      </c>
      <c r="T458" s="109">
        <f t="shared" si="136"/>
        <v>1749.6552869367997</v>
      </c>
      <c r="U458" s="109">
        <f t="shared" si="136"/>
        <v>2176.7948930262937</v>
      </c>
      <c r="V458" s="109">
        <f t="shared" si="136"/>
        <v>2171.7432663056106</v>
      </c>
      <c r="W458" s="109">
        <f t="shared" si="136"/>
        <v>2166.6411233177196</v>
      </c>
      <c r="X458" s="109">
        <f t="shared" si="136"/>
        <v>2161.4879588999502</v>
      </c>
      <c r="Y458" s="109">
        <f t="shared" si="136"/>
        <v>2156.2832628380029</v>
      </c>
      <c r="Z458" s="110">
        <f t="shared" si="136"/>
        <v>707.85805866686769</v>
      </c>
    </row>
    <row r="459" spans="1:26" x14ac:dyDescent="0.25">
      <c r="A459" s="27"/>
      <c r="B459" s="9"/>
      <c r="C459" s="2"/>
      <c r="D459" s="2"/>
      <c r="E459" s="2"/>
      <c r="F459" s="76"/>
      <c r="G459" s="76"/>
      <c r="H459" s="76"/>
      <c r="I459" s="76"/>
      <c r="J459" s="76"/>
      <c r="K459" s="76"/>
      <c r="L459" s="76"/>
      <c r="M459" s="76"/>
      <c r="N459" s="76"/>
      <c r="O459" s="76"/>
      <c r="P459" s="76"/>
      <c r="Q459" s="76"/>
      <c r="R459" s="76"/>
      <c r="S459" s="76"/>
      <c r="T459" s="76"/>
      <c r="U459" s="76"/>
      <c r="V459" s="76"/>
      <c r="W459" s="76"/>
      <c r="X459" s="76"/>
      <c r="Y459" s="76"/>
      <c r="Z459" s="77"/>
    </row>
    <row r="460" spans="1:26" x14ac:dyDescent="0.25">
      <c r="A460" s="27"/>
      <c r="B460" s="111" t="s">
        <v>66</v>
      </c>
      <c r="C460" s="272">
        <f>NPV($D$168,H458:AA458)+G458</f>
        <v>8671.0531560895979</v>
      </c>
      <c r="D460" s="4"/>
      <c r="E460" s="2"/>
      <c r="F460" s="76"/>
      <c r="G460" s="76"/>
      <c r="H460" s="76"/>
      <c r="I460" s="76"/>
      <c r="J460" s="76"/>
      <c r="K460" s="76"/>
      <c r="L460" s="76"/>
      <c r="M460" s="76"/>
      <c r="N460" s="76"/>
      <c r="O460" s="76"/>
      <c r="P460" s="76"/>
      <c r="Q460" s="76"/>
      <c r="R460" s="76"/>
      <c r="S460" s="76"/>
      <c r="T460" s="76"/>
      <c r="U460" s="76"/>
      <c r="V460" s="76"/>
      <c r="W460" s="76"/>
      <c r="X460" s="76"/>
      <c r="Y460" s="76"/>
      <c r="Z460" s="77"/>
    </row>
    <row r="461" spans="1:26" ht="15.75" thickBot="1" x14ac:dyDescent="0.3">
      <c r="A461" s="27"/>
      <c r="B461" s="16"/>
      <c r="C461" s="12"/>
      <c r="D461" s="12"/>
      <c r="E461" s="12"/>
      <c r="F461" s="80"/>
      <c r="G461" s="80"/>
      <c r="H461" s="80"/>
      <c r="I461" s="80"/>
      <c r="J461" s="80"/>
      <c r="K461" s="80"/>
      <c r="L461" s="80"/>
      <c r="M461" s="80"/>
      <c r="N461" s="80"/>
      <c r="O461" s="80"/>
      <c r="P461" s="80"/>
      <c r="Q461" s="81"/>
      <c r="R461" s="81"/>
      <c r="S461" s="81"/>
      <c r="T461" s="81"/>
      <c r="U461" s="81"/>
      <c r="V461" s="81"/>
      <c r="W461" s="81"/>
      <c r="X461" s="81"/>
      <c r="Y461" s="81"/>
      <c r="Z461" s="82"/>
    </row>
    <row r="462" spans="1:26" ht="15.75" thickBot="1" x14ac:dyDescent="0.3">
      <c r="B462" s="4"/>
      <c r="C462" s="4"/>
      <c r="D462" s="4"/>
      <c r="E462" s="4"/>
      <c r="F462" s="26"/>
      <c r="G462" s="26"/>
      <c r="H462" s="26"/>
      <c r="I462" s="26"/>
      <c r="J462" s="26"/>
      <c r="K462" s="26"/>
      <c r="L462" s="26"/>
      <c r="M462" s="26"/>
      <c r="N462" s="26"/>
      <c r="O462" s="26"/>
      <c r="P462" s="26"/>
    </row>
    <row r="463" spans="1:26" x14ac:dyDescent="0.25">
      <c r="A463" s="1"/>
      <c r="B463" s="48" t="s">
        <v>274</v>
      </c>
      <c r="C463" s="49"/>
      <c r="D463" s="49"/>
      <c r="E463" s="50"/>
      <c r="F463" s="50"/>
      <c r="G463" s="50"/>
      <c r="H463" s="50"/>
      <c r="I463" s="50"/>
      <c r="J463" s="50"/>
      <c r="K463" s="50"/>
      <c r="L463" s="50"/>
      <c r="M463" s="50"/>
      <c r="N463" s="50"/>
      <c r="O463" s="50"/>
      <c r="P463" s="50"/>
      <c r="Q463" s="50"/>
      <c r="R463" s="50"/>
      <c r="S463" s="50"/>
      <c r="T463" s="50"/>
      <c r="U463" s="50"/>
      <c r="V463" s="50"/>
      <c r="W463" s="50"/>
      <c r="X463" s="50"/>
      <c r="Y463" s="50"/>
      <c r="Z463" s="51"/>
    </row>
    <row r="464" spans="1:26" x14ac:dyDescent="0.25">
      <c r="A464" s="1"/>
      <c r="B464" s="154"/>
      <c r="C464" s="142"/>
      <c r="D464" s="142"/>
      <c r="E464" s="143" t="s">
        <v>8</v>
      </c>
      <c r="F464" s="144">
        <v>0</v>
      </c>
      <c r="G464" s="144">
        <v>1</v>
      </c>
      <c r="H464" s="144">
        <v>2</v>
      </c>
      <c r="I464" s="144">
        <v>3</v>
      </c>
      <c r="J464" s="144">
        <v>4</v>
      </c>
      <c r="K464" s="144">
        <v>5</v>
      </c>
      <c r="L464" s="144">
        <v>6</v>
      </c>
      <c r="M464" s="144">
        <v>7</v>
      </c>
      <c r="N464" s="144">
        <v>8</v>
      </c>
      <c r="O464" s="144">
        <v>9</v>
      </c>
      <c r="P464" s="144">
        <v>10</v>
      </c>
      <c r="Q464" s="144">
        <v>11</v>
      </c>
      <c r="R464" s="144">
        <v>12</v>
      </c>
      <c r="S464" s="144">
        <v>13</v>
      </c>
      <c r="T464" s="144">
        <v>14</v>
      </c>
      <c r="U464" s="144">
        <v>15</v>
      </c>
      <c r="V464" s="144">
        <v>16</v>
      </c>
      <c r="W464" s="144">
        <v>17</v>
      </c>
      <c r="X464" s="144">
        <v>18</v>
      </c>
      <c r="Y464" s="144">
        <v>19</v>
      </c>
      <c r="Z464" s="145">
        <v>20</v>
      </c>
    </row>
    <row r="465" spans="1:26" x14ac:dyDescent="0.25">
      <c r="B465" s="9"/>
      <c r="C465" s="2"/>
      <c r="D465" s="2"/>
      <c r="E465" s="2"/>
      <c r="F465" s="74"/>
      <c r="G465" s="74"/>
      <c r="H465" s="74"/>
      <c r="I465" s="74"/>
      <c r="J465" s="74"/>
      <c r="K465" s="74"/>
      <c r="L465" s="74"/>
      <c r="M465" s="74"/>
      <c r="N465" s="74"/>
      <c r="O465" s="74"/>
      <c r="P465" s="74"/>
      <c r="Q465" s="74"/>
      <c r="R465" s="74"/>
      <c r="S465" s="74"/>
      <c r="T465" s="74"/>
      <c r="U465" s="74"/>
      <c r="V465" s="74"/>
      <c r="W465" s="74"/>
      <c r="X465" s="74"/>
      <c r="Y465" s="74"/>
      <c r="Z465" s="75"/>
    </row>
    <row r="466" spans="1:26" s="69" customFormat="1" ht="15.75" x14ac:dyDescent="0.25">
      <c r="B466" s="107" t="s">
        <v>64</v>
      </c>
      <c r="C466" s="4"/>
      <c r="D466" s="4"/>
      <c r="E466" s="4"/>
      <c r="F466" s="76"/>
      <c r="G466" s="76"/>
      <c r="H466" s="76"/>
      <c r="I466" s="76"/>
      <c r="J466" s="76"/>
      <c r="K466" s="76"/>
      <c r="L466" s="76"/>
      <c r="M466" s="76"/>
      <c r="N466" s="76"/>
      <c r="O466" s="76"/>
      <c r="P466" s="76"/>
      <c r="Q466" s="76"/>
      <c r="R466" s="76"/>
      <c r="S466" s="76"/>
      <c r="T466" s="76"/>
      <c r="U466" s="76"/>
      <c r="V466" s="76"/>
      <c r="W466" s="76"/>
      <c r="X466" s="76"/>
      <c r="Y466" s="76"/>
      <c r="Z466" s="77"/>
    </row>
    <row r="467" spans="1:26" s="69" customFormat="1" x14ac:dyDescent="0.25">
      <c r="B467" s="106" t="s">
        <v>60</v>
      </c>
      <c r="C467" s="4"/>
      <c r="D467" s="4"/>
      <c r="E467" s="4"/>
      <c r="F467" s="76">
        <f t="shared" ref="F467:Z467" si="137">F280*$D$174</f>
        <v>3421.1373390557937</v>
      </c>
      <c r="G467" s="76">
        <f t="shared" si="137"/>
        <v>3421.1373390557937</v>
      </c>
      <c r="H467" s="76">
        <f t="shared" si="137"/>
        <v>3421.1373390557937</v>
      </c>
      <c r="I467" s="76">
        <f t="shared" si="137"/>
        <v>3421.1373390557937</v>
      </c>
      <c r="J467" s="76">
        <f t="shared" si="137"/>
        <v>3421.1373390557937</v>
      </c>
      <c r="K467" s="76">
        <f t="shared" si="137"/>
        <v>3421.1373390557937</v>
      </c>
      <c r="L467" s="76">
        <f t="shared" si="137"/>
        <v>3421.1373390557937</v>
      </c>
      <c r="M467" s="76">
        <f t="shared" si="137"/>
        <v>3421.1373390557937</v>
      </c>
      <c r="N467" s="76">
        <f t="shared" si="137"/>
        <v>3421.1373390557937</v>
      </c>
      <c r="O467" s="76">
        <f t="shared" si="137"/>
        <v>3421.1373390557937</v>
      </c>
      <c r="P467" s="76">
        <f t="shared" si="137"/>
        <v>3421.1373390557937</v>
      </c>
      <c r="Q467" s="76">
        <f t="shared" si="137"/>
        <v>3421.1373390557937</v>
      </c>
      <c r="R467" s="76">
        <f t="shared" si="137"/>
        <v>3421.1373390557937</v>
      </c>
      <c r="S467" s="76">
        <f t="shared" si="137"/>
        <v>3421.1373390557937</v>
      </c>
      <c r="T467" s="76">
        <f t="shared" si="137"/>
        <v>3421.1373390557937</v>
      </c>
      <c r="U467" s="76">
        <f t="shared" si="137"/>
        <v>3421.1373390557937</v>
      </c>
      <c r="V467" s="76">
        <f t="shared" si="137"/>
        <v>3421.1373390557937</v>
      </c>
      <c r="W467" s="76">
        <f t="shared" si="137"/>
        <v>3421.1373390557937</v>
      </c>
      <c r="X467" s="76">
        <f t="shared" si="137"/>
        <v>3421.1373390557937</v>
      </c>
      <c r="Y467" s="76">
        <f t="shared" si="137"/>
        <v>3421.1373390557937</v>
      </c>
      <c r="Z467" s="77">
        <f t="shared" si="137"/>
        <v>3421.1373390557937</v>
      </c>
    </row>
    <row r="468" spans="1:26" x14ac:dyDescent="0.25">
      <c r="A468" s="27"/>
      <c r="B468" s="9" t="s">
        <v>61</v>
      </c>
      <c r="C468" s="2"/>
      <c r="D468" s="2"/>
      <c r="E468" s="2"/>
      <c r="F468" s="76">
        <f>($F$400*F206+$F$377)*$F$14</f>
        <v>4091.3582775393425</v>
      </c>
      <c r="G468" s="76">
        <f>$F$400*G206*$F$14</f>
        <v>3304.0213603147358</v>
      </c>
      <c r="H468" s="76">
        <f>$F$400*H206*$F$14</f>
        <v>3337.0615739178838</v>
      </c>
      <c r="I468" s="76">
        <f>($F$400*I206+$F$377)*$F$14</f>
        <v>4190.482189657062</v>
      </c>
      <c r="J468" s="76">
        <f>$F$400*J206*$F$14</f>
        <v>3404.1365115536332</v>
      </c>
      <c r="K468" s="76">
        <f>$F$400*K206*$F$14</f>
        <v>3438.1778766691691</v>
      </c>
      <c r="L468" s="76">
        <f>($F$400*L206+$F$377)*$F$14</f>
        <v>4292.6096554358601</v>
      </c>
      <c r="M468" s="76">
        <f>$F$400*M206*$F$14</f>
        <v>3507.2852519902185</v>
      </c>
      <c r="N468" s="76">
        <f>$F$400*N206*$F$14</f>
        <v>3542.3581045101218</v>
      </c>
      <c r="O468" s="76">
        <f>($F$400*O206+$F$377)*$F$14</f>
        <v>4397.831685555223</v>
      </c>
      <c r="P468" s="76">
        <f>$F$400*P206*$F$14</f>
        <v>3613.5595024107752</v>
      </c>
      <c r="Q468" s="76">
        <f>$F$400*Q206*$F$14</f>
        <v>3649.6950974348829</v>
      </c>
      <c r="R468" s="76">
        <f>($F$400*R206+$F$377)*$F$14</f>
        <v>4506.2420484092318</v>
      </c>
      <c r="S468" s="76">
        <f>$F$400*S206*$F$14</f>
        <v>3723.0539688933241</v>
      </c>
      <c r="T468" s="76">
        <f>$F$400*T206*$F$14</f>
        <v>3760.2845085822573</v>
      </c>
      <c r="U468" s="76">
        <f>($F$400*U206+$F$377)*$F$14</f>
        <v>4617.9373536680805</v>
      </c>
      <c r="V468" s="76">
        <f>$F$400*V206*$F$14</f>
        <v>3835.8662272047609</v>
      </c>
      <c r="W468" s="76">
        <f>$F$400*W206*$F$14</f>
        <v>3874.224889476809</v>
      </c>
      <c r="X468" s="76">
        <f>($F$400*X206+$F$377)*$F$14</f>
        <v>4733.0171383715769</v>
      </c>
      <c r="Y468" s="76">
        <f>$F$400*Y206*$F$14</f>
        <v>3952.0968097552923</v>
      </c>
      <c r="Z468" s="77">
        <f>$F$400*Z206*$F$14</f>
        <v>3991.6177778528458</v>
      </c>
    </row>
    <row r="469" spans="1:26" x14ac:dyDescent="0.25">
      <c r="A469" s="27"/>
      <c r="B469" s="9" t="s">
        <v>62</v>
      </c>
      <c r="C469" s="2"/>
      <c r="D469" s="2"/>
      <c r="E469" s="2"/>
      <c r="F469" s="76">
        <f t="shared" ref="F469:Z469" si="138">F282</f>
        <v>3385.2356999999997</v>
      </c>
      <c r="G469" s="76">
        <f t="shared" si="138"/>
        <v>3385.2356999999997</v>
      </c>
      <c r="H469" s="76">
        <f t="shared" si="138"/>
        <v>3385.2356999999997</v>
      </c>
      <c r="I469" s="76">
        <f t="shared" si="138"/>
        <v>3385.2356999999997</v>
      </c>
      <c r="J469" s="76">
        <f t="shared" si="138"/>
        <v>3385.2356999999997</v>
      </c>
      <c r="K469" s="76">
        <f t="shared" si="138"/>
        <v>3385.2356999999997</v>
      </c>
      <c r="L469" s="76">
        <f t="shared" si="138"/>
        <v>3385.2356999999997</v>
      </c>
      <c r="M469" s="76">
        <f t="shared" si="138"/>
        <v>3385.2356999999997</v>
      </c>
      <c r="N469" s="76">
        <f t="shared" si="138"/>
        <v>3385.2356999999997</v>
      </c>
      <c r="O469" s="76">
        <f t="shared" si="138"/>
        <v>3385.2356999999997</v>
      </c>
      <c r="P469" s="76">
        <f t="shared" si="138"/>
        <v>3385.2356999999997</v>
      </c>
      <c r="Q469" s="76">
        <f t="shared" si="138"/>
        <v>3385.2356999999997</v>
      </c>
      <c r="R469" s="76">
        <f t="shared" si="138"/>
        <v>3385.2356999999997</v>
      </c>
      <c r="S469" s="76">
        <f t="shared" si="138"/>
        <v>3385.2356999999997</v>
      </c>
      <c r="T469" s="76">
        <f t="shared" si="138"/>
        <v>3385.2356999999997</v>
      </c>
      <c r="U469" s="76">
        <f t="shared" si="138"/>
        <v>3385.2356999999997</v>
      </c>
      <c r="V469" s="76">
        <f t="shared" si="138"/>
        <v>3385.2356999999997</v>
      </c>
      <c r="W469" s="76">
        <f t="shared" si="138"/>
        <v>3385.2356999999997</v>
      </c>
      <c r="X469" s="76">
        <f t="shared" si="138"/>
        <v>3385.2356999999997</v>
      </c>
      <c r="Y469" s="76">
        <f t="shared" si="138"/>
        <v>3385.2356999999997</v>
      </c>
      <c r="Z469" s="77">
        <f t="shared" si="138"/>
        <v>3385.2356999999997</v>
      </c>
    </row>
    <row r="470" spans="1:26" x14ac:dyDescent="0.25">
      <c r="A470" s="27"/>
      <c r="B470" s="9" t="s">
        <v>63</v>
      </c>
      <c r="C470" s="2"/>
      <c r="D470" s="2"/>
      <c r="E470" s="2"/>
      <c r="F470" s="76">
        <f t="shared" ref="F470:Z470" si="139">F283</f>
        <v>7180.802999999999</v>
      </c>
      <c r="G470" s="76">
        <f t="shared" si="139"/>
        <v>7180.802999999999</v>
      </c>
      <c r="H470" s="76">
        <f t="shared" si="139"/>
        <v>7180.802999999999</v>
      </c>
      <c r="I470" s="76">
        <f t="shared" si="139"/>
        <v>7180.802999999999</v>
      </c>
      <c r="J470" s="76">
        <f t="shared" si="139"/>
        <v>7180.802999999999</v>
      </c>
      <c r="K470" s="76">
        <f t="shared" si="139"/>
        <v>7180.802999999999</v>
      </c>
      <c r="L470" s="76">
        <f t="shared" si="139"/>
        <v>7180.802999999999</v>
      </c>
      <c r="M470" s="76">
        <f t="shared" si="139"/>
        <v>7180.802999999999</v>
      </c>
      <c r="N470" s="76">
        <f t="shared" si="139"/>
        <v>7180.802999999999</v>
      </c>
      <c r="O470" s="76">
        <f t="shared" si="139"/>
        <v>7180.802999999999</v>
      </c>
      <c r="P470" s="76">
        <f t="shared" si="139"/>
        <v>7180.802999999999</v>
      </c>
      <c r="Q470" s="76">
        <f t="shared" si="139"/>
        <v>7180.802999999999</v>
      </c>
      <c r="R470" s="76">
        <f t="shared" si="139"/>
        <v>7180.802999999999</v>
      </c>
      <c r="S470" s="76">
        <f t="shared" si="139"/>
        <v>7180.802999999999</v>
      </c>
      <c r="T470" s="76">
        <f t="shared" si="139"/>
        <v>7180.802999999999</v>
      </c>
      <c r="U470" s="76">
        <f t="shared" si="139"/>
        <v>7180.802999999999</v>
      </c>
      <c r="V470" s="76">
        <f t="shared" si="139"/>
        <v>7180.802999999999</v>
      </c>
      <c r="W470" s="76">
        <f t="shared" si="139"/>
        <v>7180.802999999999</v>
      </c>
      <c r="X470" s="76">
        <f t="shared" si="139"/>
        <v>7180.802999999999</v>
      </c>
      <c r="Y470" s="76">
        <f t="shared" si="139"/>
        <v>7180.802999999999</v>
      </c>
      <c r="Z470" s="77">
        <f t="shared" si="139"/>
        <v>7180.802999999999</v>
      </c>
    </row>
    <row r="471" spans="1:26" x14ac:dyDescent="0.25">
      <c r="A471" s="27"/>
      <c r="B471" s="56" t="s">
        <v>57</v>
      </c>
      <c r="C471" s="39"/>
      <c r="D471" s="39"/>
      <c r="E471" s="39"/>
      <c r="F471" s="109">
        <f>SUM(F469:F470)-SUM(F467:F468)</f>
        <v>3053.543083404863</v>
      </c>
      <c r="G471" s="109">
        <f t="shared" ref="G471:Z471" si="140">SUM(G469:G470)-SUM(G467:G468)</f>
        <v>3840.8800006294696</v>
      </c>
      <c r="H471" s="109">
        <f t="shared" si="140"/>
        <v>3807.8397870263216</v>
      </c>
      <c r="I471" s="109">
        <f t="shared" si="140"/>
        <v>2954.4191712871434</v>
      </c>
      <c r="J471" s="109">
        <f t="shared" si="140"/>
        <v>3740.7648493905726</v>
      </c>
      <c r="K471" s="109">
        <f t="shared" si="140"/>
        <v>3706.7234842750368</v>
      </c>
      <c r="L471" s="109">
        <f t="shared" si="140"/>
        <v>2852.2917055083453</v>
      </c>
      <c r="M471" s="109">
        <f t="shared" si="140"/>
        <v>3637.6161089539874</v>
      </c>
      <c r="N471" s="109">
        <f t="shared" si="140"/>
        <v>3602.5432564340836</v>
      </c>
      <c r="O471" s="109">
        <f t="shared" si="140"/>
        <v>2747.0696753889824</v>
      </c>
      <c r="P471" s="109">
        <f t="shared" si="140"/>
        <v>3531.3418585334302</v>
      </c>
      <c r="Q471" s="109">
        <f t="shared" si="140"/>
        <v>3495.2062635093225</v>
      </c>
      <c r="R471" s="109">
        <f t="shared" si="140"/>
        <v>2638.6593125349737</v>
      </c>
      <c r="S471" s="109">
        <f t="shared" si="140"/>
        <v>3421.8473920508814</v>
      </c>
      <c r="T471" s="109">
        <f t="shared" si="140"/>
        <v>3384.6168523619481</v>
      </c>
      <c r="U471" s="109">
        <f t="shared" si="140"/>
        <v>2526.9640072761249</v>
      </c>
      <c r="V471" s="109">
        <f t="shared" si="140"/>
        <v>3309.0351337394441</v>
      </c>
      <c r="W471" s="109">
        <f t="shared" si="140"/>
        <v>3270.6764714673964</v>
      </c>
      <c r="X471" s="109">
        <f t="shared" si="140"/>
        <v>2411.8842225726285</v>
      </c>
      <c r="Y471" s="109">
        <f t="shared" si="140"/>
        <v>3192.8045511889131</v>
      </c>
      <c r="Z471" s="110">
        <f t="shared" si="140"/>
        <v>3153.2835830913591</v>
      </c>
    </row>
    <row r="472" spans="1:26" x14ac:dyDescent="0.25">
      <c r="A472" s="27"/>
      <c r="B472" s="9"/>
      <c r="C472" s="2"/>
      <c r="D472" s="2"/>
      <c r="E472" s="2"/>
      <c r="F472" s="76"/>
      <c r="G472" s="76"/>
      <c r="H472" s="76"/>
      <c r="I472" s="76"/>
      <c r="J472" s="76"/>
      <c r="K472" s="76"/>
      <c r="L472" s="76"/>
      <c r="M472" s="76"/>
      <c r="N472" s="76"/>
      <c r="O472" s="76"/>
      <c r="P472" s="76"/>
      <c r="Q472" s="76"/>
      <c r="R472" s="76"/>
      <c r="S472" s="76"/>
      <c r="T472" s="76"/>
      <c r="U472" s="76"/>
      <c r="V472" s="76"/>
      <c r="W472" s="76"/>
      <c r="X472" s="76"/>
      <c r="Y472" s="76"/>
      <c r="Z472" s="77"/>
    </row>
    <row r="473" spans="1:26" ht="15.75" x14ac:dyDescent="0.25">
      <c r="A473" s="38"/>
      <c r="B473" s="108" t="s">
        <v>65</v>
      </c>
      <c r="C473" s="2"/>
      <c r="D473" s="2"/>
      <c r="E473" s="2"/>
      <c r="F473" s="76"/>
      <c r="G473" s="76"/>
      <c r="H473" s="76"/>
      <c r="I473" s="76"/>
      <c r="J473" s="76"/>
      <c r="K473" s="76"/>
      <c r="L473" s="76"/>
      <c r="M473" s="76"/>
      <c r="N473" s="76"/>
      <c r="O473" s="76"/>
      <c r="P473" s="76"/>
      <c r="Q473" s="78"/>
      <c r="R473" s="78"/>
      <c r="S473" s="78"/>
      <c r="T473" s="78"/>
      <c r="U473" s="78"/>
      <c r="V473" s="78"/>
      <c r="W473" s="78"/>
      <c r="X473" s="78"/>
      <c r="Y473" s="78"/>
      <c r="Z473" s="79"/>
    </row>
    <row r="474" spans="1:26" x14ac:dyDescent="0.25">
      <c r="A474" s="38"/>
      <c r="B474" s="106" t="s">
        <v>60</v>
      </c>
      <c r="C474" s="2"/>
      <c r="D474" s="2"/>
      <c r="E474" s="2"/>
      <c r="F474" s="76">
        <f t="shared" ref="F474:Z474" si="141">F287*$D$174</f>
        <v>3421.1373390557937</v>
      </c>
      <c r="G474" s="76">
        <f t="shared" si="141"/>
        <v>5097.9077253218884</v>
      </c>
      <c r="H474" s="76">
        <f t="shared" si="141"/>
        <v>5097.9077253218884</v>
      </c>
      <c r="I474" s="76">
        <f t="shared" si="141"/>
        <v>5097.9077253218884</v>
      </c>
      <c r="J474" s="76">
        <f t="shared" si="141"/>
        <v>5097.9077253218884</v>
      </c>
      <c r="K474" s="76">
        <f t="shared" si="141"/>
        <v>5097.9077253218884</v>
      </c>
      <c r="L474" s="76">
        <f t="shared" si="141"/>
        <v>5097.9077253218884</v>
      </c>
      <c r="M474" s="76">
        <f t="shared" si="141"/>
        <v>5097.9077253218884</v>
      </c>
      <c r="N474" s="76">
        <f t="shared" si="141"/>
        <v>5097.9077253218884</v>
      </c>
      <c r="O474" s="76">
        <f t="shared" si="141"/>
        <v>5097.9077253218884</v>
      </c>
      <c r="P474" s="76">
        <f t="shared" si="141"/>
        <v>5097.9077253218884</v>
      </c>
      <c r="Q474" s="76">
        <f t="shared" si="141"/>
        <v>5097.9077253218884</v>
      </c>
      <c r="R474" s="76">
        <f t="shared" si="141"/>
        <v>5097.9077253218884</v>
      </c>
      <c r="S474" s="76">
        <f t="shared" si="141"/>
        <v>5097.9077253218884</v>
      </c>
      <c r="T474" s="76">
        <f t="shared" si="141"/>
        <v>5097.9077253218884</v>
      </c>
      <c r="U474" s="76">
        <f t="shared" si="141"/>
        <v>5097.9077253218884</v>
      </c>
      <c r="V474" s="76">
        <f t="shared" si="141"/>
        <v>5097.9077253218884</v>
      </c>
      <c r="W474" s="76">
        <f t="shared" si="141"/>
        <v>5097.9077253218884</v>
      </c>
      <c r="X474" s="76">
        <f t="shared" si="141"/>
        <v>5097.9077253218884</v>
      </c>
      <c r="Y474" s="76">
        <f t="shared" si="141"/>
        <v>5097.9077253218884</v>
      </c>
      <c r="Z474" s="77">
        <f t="shared" si="141"/>
        <v>5097.9077253218884</v>
      </c>
    </row>
    <row r="475" spans="1:26" x14ac:dyDescent="0.25">
      <c r="A475" s="38"/>
      <c r="B475" s="9" t="s">
        <v>61</v>
      </c>
      <c r="C475" s="2"/>
      <c r="D475" s="2"/>
      <c r="E475" s="2"/>
      <c r="F475" s="76">
        <f>($F$400*F206+$F$377)*$F$14</f>
        <v>4091.3582775393425</v>
      </c>
      <c r="G475" s="76">
        <f>$H$400*G206*$F$14</f>
        <v>5168.2028517310455</v>
      </c>
      <c r="H475" s="76">
        <f>$H$400*H206*$F$14</f>
        <v>5219.8848802483553</v>
      </c>
      <c r="I475" s="76">
        <f>($H$400*I206+$H$377)*$F$14</f>
        <v>6092.1337290508382</v>
      </c>
      <c r="J475" s="76">
        <f>$H$400*J206*$F$14</f>
        <v>5324.8045663413477</v>
      </c>
      <c r="K475" s="76">
        <f>$H$400*K206*$F$14</f>
        <v>5378.0526120047607</v>
      </c>
      <c r="L475" s="76">
        <f>($H$400*L206+$H$377)*$F$14</f>
        <v>6251.8831381248092</v>
      </c>
      <c r="M475" s="76">
        <f>$H$400*M206*$F$14</f>
        <v>5486.1514695060559</v>
      </c>
      <c r="N475" s="76">
        <f>$H$400*N206*$F$14</f>
        <v>5541.0129842011174</v>
      </c>
      <c r="O475" s="76">
        <f>($H$400*O206+$H$377)*$F$14</f>
        <v>6416.4731140431277</v>
      </c>
      <c r="P475" s="76">
        <f>$H$400*P206*$F$14</f>
        <v>5652.3873451835598</v>
      </c>
      <c r="Q475" s="76">
        <f>$H$400*Q206*$F$14</f>
        <v>5708.911218635395</v>
      </c>
      <c r="R475" s="76">
        <f>($H$400*R206+$H$377)*$F$14</f>
        <v>6586.0503308217494</v>
      </c>
      <c r="S475" s="76">
        <f>$H$400*S206*$F$14</f>
        <v>5823.6603341299669</v>
      </c>
      <c r="T475" s="76">
        <f>$H$400*T206*$F$14</f>
        <v>5881.8969374712669</v>
      </c>
      <c r="U475" s="76">
        <f>($H$400*U206+$H$377)*$F$14</f>
        <v>6760.7659068459798</v>
      </c>
      <c r="V475" s="76">
        <f>$H$400*V206*$F$14</f>
        <v>6000.1230659144385</v>
      </c>
      <c r="W475" s="76">
        <f>$H$400*W206*$F$14</f>
        <v>6060.1242965735837</v>
      </c>
      <c r="X475" s="76">
        <f>($H$400*X206+$H$377)*$F$14</f>
        <v>6940.7755395393197</v>
      </c>
      <c r="Y475" s="76">
        <f>$H$400*Y206*$F$14</f>
        <v>6181.9327949347125</v>
      </c>
      <c r="Z475" s="77">
        <f>$H$400*Z206*$F$14</f>
        <v>6243.7521228840615</v>
      </c>
    </row>
    <row r="476" spans="1:26" x14ac:dyDescent="0.25">
      <c r="A476" s="27"/>
      <c r="B476" s="9" t="s">
        <v>62</v>
      </c>
      <c r="C476" s="2"/>
      <c r="D476" s="2"/>
      <c r="E476" s="2"/>
      <c r="F476" s="76">
        <f t="shared" ref="F476:Z476" si="142">F289</f>
        <v>3385.2356999999997</v>
      </c>
      <c r="G476" s="76">
        <f t="shared" si="142"/>
        <v>3723.75927</v>
      </c>
      <c r="H476" s="76">
        <f t="shared" si="142"/>
        <v>1643.6949251799999</v>
      </c>
      <c r="I476" s="76">
        <f t="shared" si="142"/>
        <v>1808.0644176980004</v>
      </c>
      <c r="J476" s="76">
        <f t="shared" si="142"/>
        <v>1988.8708594678003</v>
      </c>
      <c r="K476" s="76">
        <f t="shared" si="142"/>
        <v>1988.8708594678003</v>
      </c>
      <c r="L476" s="76">
        <f t="shared" si="142"/>
        <v>1988.8708594678003</v>
      </c>
      <c r="M476" s="76">
        <f t="shared" si="142"/>
        <v>1988.8708594678003</v>
      </c>
      <c r="N476" s="76">
        <f t="shared" si="142"/>
        <v>1988.8708594678003</v>
      </c>
      <c r="O476" s="76">
        <f t="shared" si="142"/>
        <v>1988.8708594678003</v>
      </c>
      <c r="P476" s="76">
        <f t="shared" si="142"/>
        <v>1988.8708594678003</v>
      </c>
      <c r="Q476" s="76">
        <f t="shared" si="142"/>
        <v>1988.8708594678003</v>
      </c>
      <c r="R476" s="76">
        <f t="shared" si="142"/>
        <v>1988.8708594678003</v>
      </c>
      <c r="S476" s="76">
        <f t="shared" si="142"/>
        <v>1988.8708594678003</v>
      </c>
      <c r="T476" s="76">
        <f t="shared" si="142"/>
        <v>1988.8708594678003</v>
      </c>
      <c r="U476" s="76">
        <f t="shared" si="142"/>
        <v>1988.8708594678003</v>
      </c>
      <c r="V476" s="76">
        <f t="shared" si="142"/>
        <v>1988.8708594678003</v>
      </c>
      <c r="W476" s="76">
        <f t="shared" si="142"/>
        <v>1988.8708594678003</v>
      </c>
      <c r="X476" s="76">
        <f t="shared" si="142"/>
        <v>1988.8708594678003</v>
      </c>
      <c r="Y476" s="76">
        <f t="shared" si="142"/>
        <v>1988.8708594678003</v>
      </c>
      <c r="Z476" s="77">
        <f t="shared" si="142"/>
        <v>1988.8708594678003</v>
      </c>
    </row>
    <row r="477" spans="1:26" x14ac:dyDescent="0.25">
      <c r="A477" s="27"/>
      <c r="B477" s="9" t="s">
        <v>63</v>
      </c>
      <c r="C477" s="2"/>
      <c r="D477" s="2"/>
      <c r="E477" s="2"/>
      <c r="F477" s="76">
        <f t="shared" ref="F477:Z477" si="143">F290</f>
        <v>7180.802999999999</v>
      </c>
      <c r="G477" s="76">
        <f t="shared" si="143"/>
        <v>7898.8832999999995</v>
      </c>
      <c r="H477" s="76">
        <f t="shared" si="143"/>
        <v>14646.786462000002</v>
      </c>
      <c r="I477" s="76">
        <f t="shared" si="143"/>
        <v>16111.465108200004</v>
      </c>
      <c r="J477" s="76">
        <f t="shared" si="143"/>
        <v>17722.611619020008</v>
      </c>
      <c r="K477" s="76">
        <f t="shared" si="143"/>
        <v>17722.611619020008</v>
      </c>
      <c r="L477" s="76">
        <f t="shared" si="143"/>
        <v>17722.611619020008</v>
      </c>
      <c r="M477" s="76">
        <f t="shared" si="143"/>
        <v>17722.611619020008</v>
      </c>
      <c r="N477" s="76">
        <f t="shared" si="143"/>
        <v>17722.611619020008</v>
      </c>
      <c r="O477" s="76">
        <f t="shared" si="143"/>
        <v>17722.611619020008</v>
      </c>
      <c r="P477" s="76">
        <f t="shared" si="143"/>
        <v>17722.611619020008</v>
      </c>
      <c r="Q477" s="76">
        <f t="shared" si="143"/>
        <v>17722.611619020008</v>
      </c>
      <c r="R477" s="76">
        <f t="shared" si="143"/>
        <v>17722.611619020008</v>
      </c>
      <c r="S477" s="76">
        <f t="shared" si="143"/>
        <v>17722.611619020008</v>
      </c>
      <c r="T477" s="76">
        <f t="shared" si="143"/>
        <v>17722.611619020008</v>
      </c>
      <c r="U477" s="76">
        <f t="shared" si="143"/>
        <v>17722.611619020008</v>
      </c>
      <c r="V477" s="76">
        <f t="shared" si="143"/>
        <v>17722.611619020008</v>
      </c>
      <c r="W477" s="76">
        <f t="shared" si="143"/>
        <v>17722.611619020008</v>
      </c>
      <c r="X477" s="76">
        <f t="shared" si="143"/>
        <v>17722.611619020008</v>
      </c>
      <c r="Y477" s="76">
        <f t="shared" si="143"/>
        <v>17722.611619020008</v>
      </c>
      <c r="Z477" s="77">
        <f t="shared" si="143"/>
        <v>17722.611619020008</v>
      </c>
    </row>
    <row r="478" spans="1:26" x14ac:dyDescent="0.25">
      <c r="A478" s="27"/>
      <c r="B478" s="56" t="s">
        <v>57</v>
      </c>
      <c r="C478" s="39"/>
      <c r="D478" s="39"/>
      <c r="E478" s="39"/>
      <c r="F478" s="109">
        <f>SUM(F476:F477)-SUM(F474:F475)</f>
        <v>3053.543083404863</v>
      </c>
      <c r="G478" s="109">
        <f t="shared" ref="G478:Z478" si="144">SUM(G476:G477)-SUM(G474:G475)</f>
        <v>1356.5319929470661</v>
      </c>
      <c r="H478" s="109">
        <f t="shared" si="144"/>
        <v>5972.6887816097569</v>
      </c>
      <c r="I478" s="109">
        <f t="shared" si="144"/>
        <v>6729.4880715252766</v>
      </c>
      <c r="J478" s="109">
        <f t="shared" si="144"/>
        <v>9288.7701868245713</v>
      </c>
      <c r="K478" s="109">
        <f t="shared" si="144"/>
        <v>9235.5221411611583</v>
      </c>
      <c r="L478" s="109">
        <f t="shared" si="144"/>
        <v>8361.6916150411089</v>
      </c>
      <c r="M478" s="109">
        <f t="shared" si="144"/>
        <v>9127.423283659864</v>
      </c>
      <c r="N478" s="109">
        <f t="shared" si="144"/>
        <v>9072.5617689648025</v>
      </c>
      <c r="O478" s="109">
        <f t="shared" si="144"/>
        <v>8197.1016391227913</v>
      </c>
      <c r="P478" s="109">
        <f t="shared" si="144"/>
        <v>8961.1874079823592</v>
      </c>
      <c r="Q478" s="109">
        <f t="shared" si="144"/>
        <v>8904.663534530524</v>
      </c>
      <c r="R478" s="109">
        <f t="shared" si="144"/>
        <v>8027.5244223441696</v>
      </c>
      <c r="S478" s="109">
        <f t="shared" si="144"/>
        <v>8789.9144190359511</v>
      </c>
      <c r="T478" s="109">
        <f t="shared" si="144"/>
        <v>8731.677815694653</v>
      </c>
      <c r="U478" s="109">
        <f t="shared" si="144"/>
        <v>7852.8088463199383</v>
      </c>
      <c r="V478" s="109">
        <f t="shared" si="144"/>
        <v>8613.4516872514796</v>
      </c>
      <c r="W478" s="109">
        <f t="shared" si="144"/>
        <v>8553.4504565923344</v>
      </c>
      <c r="X478" s="109">
        <f t="shared" si="144"/>
        <v>7672.7992136266002</v>
      </c>
      <c r="Y478" s="109">
        <f t="shared" si="144"/>
        <v>8431.6419582312064</v>
      </c>
      <c r="Z478" s="110">
        <f t="shared" si="144"/>
        <v>8369.8226302818584</v>
      </c>
    </row>
    <row r="479" spans="1:26" x14ac:dyDescent="0.25">
      <c r="A479" s="27"/>
      <c r="B479" s="9"/>
      <c r="C479" s="2"/>
      <c r="D479" s="2"/>
      <c r="E479" s="2"/>
      <c r="F479" s="76"/>
      <c r="G479" s="76"/>
      <c r="H479" s="76"/>
      <c r="I479" s="76"/>
      <c r="J479" s="76"/>
      <c r="K479" s="76"/>
      <c r="L479" s="76"/>
      <c r="M479" s="76"/>
      <c r="N479" s="76"/>
      <c r="O479" s="76"/>
      <c r="P479" s="76"/>
      <c r="Q479" s="78"/>
      <c r="R479" s="78"/>
      <c r="S479" s="78"/>
      <c r="T479" s="78"/>
      <c r="U479" s="78"/>
      <c r="V479" s="78"/>
      <c r="W479" s="78"/>
      <c r="X479" s="78"/>
      <c r="Y479" s="78"/>
      <c r="Z479" s="75"/>
    </row>
    <row r="480" spans="1:26" x14ac:dyDescent="0.25">
      <c r="A480" s="27"/>
      <c r="B480" s="9" t="s">
        <v>201</v>
      </c>
      <c r="C480" s="2"/>
      <c r="D480" s="2"/>
      <c r="E480" s="2"/>
      <c r="F480" s="76"/>
      <c r="G480" s="76"/>
      <c r="H480" s="76"/>
      <c r="I480" s="76"/>
      <c r="J480" s="76"/>
      <c r="K480" s="76"/>
      <c r="L480" s="76"/>
      <c r="M480" s="76"/>
      <c r="N480" s="76"/>
      <c r="O480" s="76"/>
      <c r="P480" s="76"/>
      <c r="Q480" s="78"/>
      <c r="R480" s="78"/>
      <c r="S480" s="78"/>
      <c r="T480" s="78"/>
      <c r="U480" s="78"/>
      <c r="V480" s="78"/>
      <c r="W480" s="78"/>
      <c r="X480" s="78"/>
      <c r="Y480" s="78"/>
      <c r="Z480" s="79"/>
    </row>
    <row r="481" spans="1:26" x14ac:dyDescent="0.25">
      <c r="A481" s="27"/>
      <c r="B481" s="106" t="s">
        <v>60</v>
      </c>
      <c r="C481" s="2"/>
      <c r="D481" s="2"/>
      <c r="E481" s="2"/>
      <c r="F481" s="76">
        <f t="shared" ref="F481:Z481" si="145">F474-F467</f>
        <v>0</v>
      </c>
      <c r="G481" s="76">
        <f t="shared" si="145"/>
        <v>1676.7703862660946</v>
      </c>
      <c r="H481" s="76">
        <f t="shared" si="145"/>
        <v>1676.7703862660946</v>
      </c>
      <c r="I481" s="76">
        <f t="shared" si="145"/>
        <v>1676.7703862660946</v>
      </c>
      <c r="J481" s="76">
        <f t="shared" si="145"/>
        <v>1676.7703862660946</v>
      </c>
      <c r="K481" s="76">
        <f t="shared" si="145"/>
        <v>1676.7703862660946</v>
      </c>
      <c r="L481" s="76">
        <f t="shared" si="145"/>
        <v>1676.7703862660946</v>
      </c>
      <c r="M481" s="76">
        <f t="shared" si="145"/>
        <v>1676.7703862660946</v>
      </c>
      <c r="N481" s="76">
        <f t="shared" si="145"/>
        <v>1676.7703862660946</v>
      </c>
      <c r="O481" s="76">
        <f t="shared" si="145"/>
        <v>1676.7703862660946</v>
      </c>
      <c r="P481" s="76">
        <f t="shared" si="145"/>
        <v>1676.7703862660946</v>
      </c>
      <c r="Q481" s="76">
        <f t="shared" si="145"/>
        <v>1676.7703862660946</v>
      </c>
      <c r="R481" s="76">
        <f t="shared" si="145"/>
        <v>1676.7703862660946</v>
      </c>
      <c r="S481" s="76">
        <f t="shared" si="145"/>
        <v>1676.7703862660946</v>
      </c>
      <c r="T481" s="76">
        <f t="shared" si="145"/>
        <v>1676.7703862660946</v>
      </c>
      <c r="U481" s="76">
        <f t="shared" si="145"/>
        <v>1676.7703862660946</v>
      </c>
      <c r="V481" s="76">
        <f t="shared" si="145"/>
        <v>1676.7703862660946</v>
      </c>
      <c r="W481" s="76">
        <f t="shared" si="145"/>
        <v>1676.7703862660946</v>
      </c>
      <c r="X481" s="76">
        <f t="shared" si="145"/>
        <v>1676.7703862660946</v>
      </c>
      <c r="Y481" s="76">
        <f t="shared" si="145"/>
        <v>1676.7703862660946</v>
      </c>
      <c r="Z481" s="77">
        <f t="shared" si="145"/>
        <v>1676.7703862660946</v>
      </c>
    </row>
    <row r="482" spans="1:26" x14ac:dyDescent="0.25">
      <c r="A482" s="27"/>
      <c r="B482" s="9" t="s">
        <v>61</v>
      </c>
      <c r="C482" s="2"/>
      <c r="D482" s="2"/>
      <c r="E482" s="2"/>
      <c r="F482" s="76">
        <f t="shared" ref="F482:Z482" si="146">F475-F468</f>
        <v>0</v>
      </c>
      <c r="G482" s="76">
        <f t="shared" si="146"/>
        <v>1864.1814914163097</v>
      </c>
      <c r="H482" s="76">
        <f t="shared" si="146"/>
        <v>1882.8233063304715</v>
      </c>
      <c r="I482" s="76">
        <f t="shared" si="146"/>
        <v>1901.6515393937761</v>
      </c>
      <c r="J482" s="76">
        <f t="shared" si="146"/>
        <v>1920.6680547877145</v>
      </c>
      <c r="K482" s="76">
        <f t="shared" si="146"/>
        <v>1939.8747353355916</v>
      </c>
      <c r="L482" s="76">
        <f t="shared" si="146"/>
        <v>1959.2734826889491</v>
      </c>
      <c r="M482" s="76">
        <f t="shared" si="146"/>
        <v>1978.8662175158374</v>
      </c>
      <c r="N482" s="76">
        <f t="shared" si="146"/>
        <v>1998.6548796909956</v>
      </c>
      <c r="O482" s="76">
        <f t="shared" si="146"/>
        <v>2018.6414284879047</v>
      </c>
      <c r="P482" s="76">
        <f t="shared" si="146"/>
        <v>2038.8278427727846</v>
      </c>
      <c r="Q482" s="76">
        <f t="shared" si="146"/>
        <v>2059.2161212005121</v>
      </c>
      <c r="R482" s="76">
        <f t="shared" si="146"/>
        <v>2079.8082824125177</v>
      </c>
      <c r="S482" s="76">
        <f t="shared" si="146"/>
        <v>2100.6063652366429</v>
      </c>
      <c r="T482" s="76">
        <f t="shared" si="146"/>
        <v>2121.6124288890096</v>
      </c>
      <c r="U482" s="76">
        <f t="shared" si="146"/>
        <v>2142.8285531778993</v>
      </c>
      <c r="V482" s="76">
        <f t="shared" si="146"/>
        <v>2164.2568387096776</v>
      </c>
      <c r="W482" s="76">
        <f t="shared" si="146"/>
        <v>2185.8994070967747</v>
      </c>
      <c r="X482" s="76">
        <f t="shared" si="146"/>
        <v>2207.7584011677427</v>
      </c>
      <c r="Y482" s="76">
        <f t="shared" si="146"/>
        <v>2229.8359851794203</v>
      </c>
      <c r="Z482" s="77">
        <f t="shared" si="146"/>
        <v>2252.1343450312156</v>
      </c>
    </row>
    <row r="483" spans="1:26" x14ac:dyDescent="0.25">
      <c r="A483" s="27"/>
      <c r="B483" s="9" t="s">
        <v>62</v>
      </c>
      <c r="C483" s="2"/>
      <c r="D483" s="2"/>
      <c r="E483" s="2"/>
      <c r="F483" s="76">
        <f t="shared" ref="F483:Z483" si="147">F476-F469</f>
        <v>0</v>
      </c>
      <c r="G483" s="76">
        <f t="shared" si="147"/>
        <v>338.52357000000029</v>
      </c>
      <c r="H483" s="76">
        <f t="shared" si="147"/>
        <v>-1741.5407748199998</v>
      </c>
      <c r="I483" s="76">
        <f t="shared" si="147"/>
        <v>-1577.1712823019993</v>
      </c>
      <c r="J483" s="76">
        <f t="shared" si="147"/>
        <v>-1396.3648405321994</v>
      </c>
      <c r="K483" s="76">
        <f t="shared" si="147"/>
        <v>-1396.3648405321994</v>
      </c>
      <c r="L483" s="76">
        <f t="shared" si="147"/>
        <v>-1396.3648405321994</v>
      </c>
      <c r="M483" s="76">
        <f t="shared" si="147"/>
        <v>-1396.3648405321994</v>
      </c>
      <c r="N483" s="76">
        <f t="shared" si="147"/>
        <v>-1396.3648405321994</v>
      </c>
      <c r="O483" s="76">
        <f t="shared" si="147"/>
        <v>-1396.3648405321994</v>
      </c>
      <c r="P483" s="76">
        <f t="shared" si="147"/>
        <v>-1396.3648405321994</v>
      </c>
      <c r="Q483" s="76">
        <f t="shared" si="147"/>
        <v>-1396.3648405321994</v>
      </c>
      <c r="R483" s="76">
        <f t="shared" si="147"/>
        <v>-1396.3648405321994</v>
      </c>
      <c r="S483" s="76">
        <f t="shared" si="147"/>
        <v>-1396.3648405321994</v>
      </c>
      <c r="T483" s="76">
        <f t="shared" si="147"/>
        <v>-1396.3648405321994</v>
      </c>
      <c r="U483" s="76">
        <f t="shared" si="147"/>
        <v>-1396.3648405321994</v>
      </c>
      <c r="V483" s="76">
        <f t="shared" si="147"/>
        <v>-1396.3648405321994</v>
      </c>
      <c r="W483" s="76">
        <f t="shared" si="147"/>
        <v>-1396.3648405321994</v>
      </c>
      <c r="X483" s="76">
        <f t="shared" si="147"/>
        <v>-1396.3648405321994</v>
      </c>
      <c r="Y483" s="76">
        <f t="shared" si="147"/>
        <v>-1396.3648405321994</v>
      </c>
      <c r="Z483" s="77">
        <f t="shared" si="147"/>
        <v>-1396.3648405321994</v>
      </c>
    </row>
    <row r="484" spans="1:26" x14ac:dyDescent="0.25">
      <c r="A484" s="27"/>
      <c r="B484" s="9" t="s">
        <v>63</v>
      </c>
      <c r="C484" s="2"/>
      <c r="D484" s="2"/>
      <c r="E484" s="2"/>
      <c r="F484" s="76">
        <f t="shared" ref="F484:Z484" si="148">F477-F470</f>
        <v>0</v>
      </c>
      <c r="G484" s="76">
        <f t="shared" si="148"/>
        <v>718.08030000000053</v>
      </c>
      <c r="H484" s="76">
        <f t="shared" si="148"/>
        <v>7465.9834620000029</v>
      </c>
      <c r="I484" s="76">
        <f t="shared" si="148"/>
        <v>8930.6621082000056</v>
      </c>
      <c r="J484" s="76">
        <f t="shared" si="148"/>
        <v>10541.808619020008</v>
      </c>
      <c r="K484" s="76">
        <f t="shared" si="148"/>
        <v>10541.808619020008</v>
      </c>
      <c r="L484" s="76">
        <f t="shared" si="148"/>
        <v>10541.808619020008</v>
      </c>
      <c r="M484" s="76">
        <f t="shared" si="148"/>
        <v>10541.808619020008</v>
      </c>
      <c r="N484" s="76">
        <f t="shared" si="148"/>
        <v>10541.808619020008</v>
      </c>
      <c r="O484" s="76">
        <f t="shared" si="148"/>
        <v>10541.808619020008</v>
      </c>
      <c r="P484" s="76">
        <f t="shared" si="148"/>
        <v>10541.808619020008</v>
      </c>
      <c r="Q484" s="76">
        <f t="shared" si="148"/>
        <v>10541.808619020008</v>
      </c>
      <c r="R484" s="76">
        <f t="shared" si="148"/>
        <v>10541.808619020008</v>
      </c>
      <c r="S484" s="76">
        <f t="shared" si="148"/>
        <v>10541.808619020008</v>
      </c>
      <c r="T484" s="76">
        <f t="shared" si="148"/>
        <v>10541.808619020008</v>
      </c>
      <c r="U484" s="76">
        <f t="shared" si="148"/>
        <v>10541.808619020008</v>
      </c>
      <c r="V484" s="76">
        <f t="shared" si="148"/>
        <v>10541.808619020008</v>
      </c>
      <c r="W484" s="76">
        <f t="shared" si="148"/>
        <v>10541.808619020008</v>
      </c>
      <c r="X484" s="76">
        <f t="shared" si="148"/>
        <v>10541.808619020008</v>
      </c>
      <c r="Y484" s="76">
        <f t="shared" si="148"/>
        <v>10541.808619020008</v>
      </c>
      <c r="Z484" s="222">
        <f t="shared" si="148"/>
        <v>10541.808619020008</v>
      </c>
    </row>
    <row r="485" spans="1:26" x14ac:dyDescent="0.25">
      <c r="A485" s="27"/>
      <c r="B485" s="56" t="s">
        <v>15</v>
      </c>
      <c r="C485" s="39"/>
      <c r="D485" s="39"/>
      <c r="E485" s="39"/>
      <c r="F485" s="109">
        <f t="shared" ref="F485:Z485" si="149">F478-F471</f>
        <v>0</v>
      </c>
      <c r="G485" s="109">
        <f t="shared" si="149"/>
        <v>-2484.3480076824035</v>
      </c>
      <c r="H485" s="109">
        <f t="shared" si="149"/>
        <v>2164.8489945834353</v>
      </c>
      <c r="I485" s="109">
        <f t="shared" si="149"/>
        <v>3775.0689002381332</v>
      </c>
      <c r="J485" s="109">
        <f t="shared" si="149"/>
        <v>5548.0053374339986</v>
      </c>
      <c r="K485" s="109">
        <f t="shared" si="149"/>
        <v>5528.7986568861215</v>
      </c>
      <c r="L485" s="109">
        <f t="shared" si="149"/>
        <v>5509.3999095327636</v>
      </c>
      <c r="M485" s="109">
        <f t="shared" si="149"/>
        <v>5489.8071747058766</v>
      </c>
      <c r="N485" s="109">
        <f t="shared" si="149"/>
        <v>5470.0185125307189</v>
      </c>
      <c r="O485" s="109">
        <f t="shared" si="149"/>
        <v>5450.0319637338089</v>
      </c>
      <c r="P485" s="109">
        <f t="shared" si="149"/>
        <v>5429.845549448929</v>
      </c>
      <c r="Q485" s="109">
        <f t="shared" si="149"/>
        <v>5409.4572710212014</v>
      </c>
      <c r="R485" s="109">
        <f t="shared" si="149"/>
        <v>5388.8651098091959</v>
      </c>
      <c r="S485" s="109">
        <f t="shared" si="149"/>
        <v>5368.0670269850698</v>
      </c>
      <c r="T485" s="109">
        <f t="shared" si="149"/>
        <v>5347.0609633327049</v>
      </c>
      <c r="U485" s="109">
        <f t="shared" si="149"/>
        <v>5325.8448390438134</v>
      </c>
      <c r="V485" s="109">
        <f t="shared" si="149"/>
        <v>5304.4165535120355</v>
      </c>
      <c r="W485" s="109">
        <f t="shared" si="149"/>
        <v>5282.773985124938</v>
      </c>
      <c r="X485" s="109">
        <f t="shared" si="149"/>
        <v>5260.9149910539718</v>
      </c>
      <c r="Y485" s="109">
        <f t="shared" si="149"/>
        <v>5238.8374070422933</v>
      </c>
      <c r="Z485" s="110">
        <f t="shared" si="149"/>
        <v>5216.5390471904993</v>
      </c>
    </row>
    <row r="486" spans="1:26" x14ac:dyDescent="0.25">
      <c r="A486" s="27"/>
      <c r="B486" s="9"/>
      <c r="C486" s="2"/>
      <c r="D486" s="2"/>
      <c r="E486" s="2"/>
      <c r="F486" s="76"/>
      <c r="G486" s="76"/>
      <c r="H486" s="76"/>
      <c r="I486" s="76"/>
      <c r="J486" s="76"/>
      <c r="K486" s="76"/>
      <c r="L486" s="76"/>
      <c r="M486" s="76"/>
      <c r="N486" s="76"/>
      <c r="O486" s="76"/>
      <c r="P486" s="76"/>
      <c r="Q486" s="76"/>
      <c r="R486" s="76"/>
      <c r="S486" s="76"/>
      <c r="T486" s="76"/>
      <c r="U486" s="76"/>
      <c r="V486" s="76"/>
      <c r="W486" s="76"/>
      <c r="X486" s="76"/>
      <c r="Y486" s="76"/>
      <c r="Z486" s="77"/>
    </row>
    <row r="487" spans="1:26" x14ac:dyDescent="0.25">
      <c r="A487" s="27"/>
      <c r="B487" s="111" t="s">
        <v>66</v>
      </c>
      <c r="C487" s="272">
        <f>NPV($D$168,H485:AA485)+G485</f>
        <v>33329.594762115819</v>
      </c>
      <c r="D487" s="4"/>
      <c r="E487" s="2"/>
      <c r="F487" s="76"/>
      <c r="G487" s="76"/>
      <c r="H487" s="76"/>
      <c r="I487" s="76"/>
      <c r="J487" s="76"/>
      <c r="K487" s="76"/>
      <c r="L487" s="76"/>
      <c r="M487" s="76"/>
      <c r="N487" s="76"/>
      <c r="O487" s="76"/>
      <c r="P487" s="76"/>
      <c r="Q487" s="76"/>
      <c r="R487" s="76"/>
      <c r="S487" s="76"/>
      <c r="T487" s="76"/>
      <c r="U487" s="76"/>
      <c r="V487" s="76"/>
      <c r="W487" s="237"/>
      <c r="X487" s="76"/>
      <c r="Y487" s="76"/>
      <c r="Z487" s="77"/>
    </row>
    <row r="488" spans="1:26" ht="15.75" thickBot="1" x14ac:dyDescent="0.3">
      <c r="A488" s="27"/>
      <c r="B488" s="16"/>
      <c r="C488" s="12"/>
      <c r="D488" s="12"/>
      <c r="E488" s="12"/>
      <c r="F488" s="80"/>
      <c r="G488" s="80"/>
      <c r="H488" s="80"/>
      <c r="I488" s="80"/>
      <c r="J488" s="80"/>
      <c r="K488" s="80"/>
      <c r="L488" s="80"/>
      <c r="M488" s="80"/>
      <c r="N488" s="80"/>
      <c r="O488" s="80"/>
      <c r="P488" s="80"/>
      <c r="Q488" s="81"/>
      <c r="R488" s="81"/>
      <c r="S488" s="81"/>
      <c r="T488" s="81"/>
      <c r="U488" s="81"/>
      <c r="V488" s="81"/>
      <c r="W488" s="81"/>
      <c r="X488" s="81"/>
      <c r="Y488" s="81"/>
      <c r="Z488" s="82"/>
    </row>
    <row r="489" spans="1:26" ht="15.75" thickBot="1" x14ac:dyDescent="0.3">
      <c r="A489" s="2"/>
      <c r="B489" s="2"/>
      <c r="C489" s="2"/>
      <c r="D489" s="2"/>
      <c r="E489" s="2"/>
      <c r="F489" s="76"/>
      <c r="G489" s="76"/>
      <c r="H489" s="76"/>
      <c r="I489" s="76"/>
      <c r="J489" s="76"/>
      <c r="K489" s="76"/>
      <c r="L489" s="76"/>
      <c r="M489" s="76"/>
      <c r="N489" s="76"/>
      <c r="O489" s="76"/>
      <c r="P489" s="76"/>
      <c r="Q489" s="78"/>
      <c r="R489" s="78"/>
      <c r="S489" s="78"/>
      <c r="T489" s="78"/>
      <c r="U489" s="78"/>
      <c r="V489" s="78"/>
      <c r="W489" s="78"/>
      <c r="X489" s="78"/>
      <c r="Y489" s="78"/>
      <c r="Z489" s="78"/>
    </row>
    <row r="490" spans="1:26" x14ac:dyDescent="0.25">
      <c r="A490" s="1"/>
      <c r="B490" s="48" t="s">
        <v>275</v>
      </c>
      <c r="C490" s="49"/>
      <c r="D490" s="49"/>
      <c r="E490" s="50"/>
      <c r="F490" s="50"/>
      <c r="G490" s="50"/>
      <c r="H490" s="50"/>
      <c r="I490" s="50"/>
      <c r="J490" s="50"/>
      <c r="K490" s="50"/>
      <c r="L490" s="50"/>
      <c r="M490" s="50"/>
      <c r="N490" s="50"/>
      <c r="O490" s="50"/>
      <c r="P490" s="50"/>
      <c r="Q490" s="50"/>
      <c r="R490" s="50"/>
      <c r="S490" s="50"/>
      <c r="T490" s="50"/>
      <c r="U490" s="50"/>
      <c r="V490" s="50"/>
      <c r="W490" s="50"/>
      <c r="X490" s="50"/>
      <c r="Y490" s="50"/>
      <c r="Z490" s="51"/>
    </row>
    <row r="491" spans="1:26" x14ac:dyDescent="0.25">
      <c r="A491" s="1"/>
      <c r="B491" s="154"/>
      <c r="C491" s="142"/>
      <c r="D491" s="142"/>
      <c r="E491" s="143" t="s">
        <v>8</v>
      </c>
      <c r="F491" s="144">
        <v>0</v>
      </c>
      <c r="G491" s="144">
        <v>1</v>
      </c>
      <c r="H491" s="144">
        <v>2</v>
      </c>
      <c r="I491" s="144">
        <v>3</v>
      </c>
      <c r="J491" s="144">
        <v>4</v>
      </c>
      <c r="K491" s="144">
        <v>5</v>
      </c>
      <c r="L491" s="144">
        <v>6</v>
      </c>
      <c r="M491" s="144">
        <v>7</v>
      </c>
      <c r="N491" s="144">
        <v>8</v>
      </c>
      <c r="O491" s="144">
        <v>9</v>
      </c>
      <c r="P491" s="144">
        <v>10</v>
      </c>
      <c r="Q491" s="144">
        <v>11</v>
      </c>
      <c r="R491" s="144">
        <v>12</v>
      </c>
      <c r="S491" s="144">
        <v>13</v>
      </c>
      <c r="T491" s="144">
        <v>14</v>
      </c>
      <c r="U491" s="144">
        <v>15</v>
      </c>
      <c r="V491" s="144">
        <v>16</v>
      </c>
      <c r="W491" s="144">
        <v>17</v>
      </c>
      <c r="X491" s="144">
        <v>18</v>
      </c>
      <c r="Y491" s="144">
        <v>19</v>
      </c>
      <c r="Z491" s="145">
        <v>20</v>
      </c>
    </row>
    <row r="492" spans="1:26" x14ac:dyDescent="0.25">
      <c r="B492" s="9"/>
      <c r="C492" s="2"/>
      <c r="D492" s="2"/>
      <c r="E492" s="2"/>
      <c r="F492" s="74"/>
      <c r="G492" s="74"/>
      <c r="H492" s="74"/>
      <c r="I492" s="74"/>
      <c r="J492" s="74"/>
      <c r="K492" s="74"/>
      <c r="L492" s="74"/>
      <c r="M492" s="74"/>
      <c r="N492" s="74"/>
      <c r="O492" s="74"/>
      <c r="P492" s="74"/>
      <c r="Q492" s="74"/>
      <c r="R492" s="74"/>
      <c r="S492" s="74"/>
      <c r="T492" s="74"/>
      <c r="U492" s="74"/>
      <c r="V492" s="74"/>
      <c r="W492" s="74"/>
      <c r="X492" s="74"/>
      <c r="Y492" s="74"/>
      <c r="Z492" s="75"/>
    </row>
    <row r="493" spans="1:26" s="69" customFormat="1" ht="15.75" x14ac:dyDescent="0.25">
      <c r="B493" s="107" t="s">
        <v>64</v>
      </c>
      <c r="C493" s="4"/>
      <c r="D493" s="4"/>
      <c r="E493" s="4"/>
      <c r="F493" s="76"/>
      <c r="G493" s="76"/>
      <c r="H493" s="76"/>
      <c r="I493" s="76"/>
      <c r="J493" s="76"/>
      <c r="K493" s="76"/>
      <c r="L493" s="76"/>
      <c r="M493" s="76"/>
      <c r="N493" s="76"/>
      <c r="O493" s="76"/>
      <c r="P493" s="76"/>
      <c r="Q493" s="76"/>
      <c r="R493" s="76"/>
      <c r="S493" s="76"/>
      <c r="T493" s="76"/>
      <c r="U493" s="76"/>
      <c r="V493" s="76"/>
      <c r="W493" s="76"/>
      <c r="X493" s="76"/>
      <c r="Y493" s="76"/>
      <c r="Z493" s="77"/>
    </row>
    <row r="494" spans="1:26" s="69" customFormat="1" x14ac:dyDescent="0.25">
      <c r="B494" s="106" t="s">
        <v>60</v>
      </c>
      <c r="C494" s="4"/>
      <c r="D494" s="4"/>
      <c r="E494" s="4"/>
      <c r="F494" s="76">
        <f t="shared" ref="F494:Z494" si="150">F307*$D$174</f>
        <v>3421.1373390557937</v>
      </c>
      <c r="G494" s="76">
        <f t="shared" si="150"/>
        <v>3421.1373390557937</v>
      </c>
      <c r="H494" s="76">
        <f t="shared" si="150"/>
        <v>3421.1373390557937</v>
      </c>
      <c r="I494" s="76">
        <f t="shared" si="150"/>
        <v>3421.1373390557937</v>
      </c>
      <c r="J494" s="76">
        <f t="shared" si="150"/>
        <v>3421.1373390557937</v>
      </c>
      <c r="K494" s="76">
        <f t="shared" si="150"/>
        <v>3421.1373390557937</v>
      </c>
      <c r="L494" s="76">
        <f t="shared" si="150"/>
        <v>3421.1373390557937</v>
      </c>
      <c r="M494" s="76">
        <f t="shared" si="150"/>
        <v>3421.1373390557937</v>
      </c>
      <c r="N494" s="76">
        <f t="shared" si="150"/>
        <v>3421.1373390557937</v>
      </c>
      <c r="O494" s="76">
        <f t="shared" si="150"/>
        <v>3421.1373390557937</v>
      </c>
      <c r="P494" s="76">
        <f t="shared" si="150"/>
        <v>3421.1373390557937</v>
      </c>
      <c r="Q494" s="76">
        <f t="shared" si="150"/>
        <v>3421.1373390557937</v>
      </c>
      <c r="R494" s="76">
        <f t="shared" si="150"/>
        <v>3421.1373390557937</v>
      </c>
      <c r="S494" s="76">
        <f t="shared" si="150"/>
        <v>3421.1373390557937</v>
      </c>
      <c r="T494" s="76">
        <f t="shared" si="150"/>
        <v>3421.1373390557937</v>
      </c>
      <c r="U494" s="76">
        <f t="shared" si="150"/>
        <v>3421.1373390557937</v>
      </c>
      <c r="V494" s="76">
        <f t="shared" si="150"/>
        <v>3421.1373390557937</v>
      </c>
      <c r="W494" s="76">
        <f t="shared" si="150"/>
        <v>3421.1373390557937</v>
      </c>
      <c r="X494" s="76">
        <f t="shared" si="150"/>
        <v>3421.1373390557937</v>
      </c>
      <c r="Y494" s="76">
        <f t="shared" si="150"/>
        <v>3421.1373390557937</v>
      </c>
      <c r="Z494" s="77">
        <f t="shared" si="150"/>
        <v>3421.1373390557937</v>
      </c>
    </row>
    <row r="495" spans="1:26" x14ac:dyDescent="0.25">
      <c r="A495" s="27"/>
      <c r="B495" s="9" t="s">
        <v>61</v>
      </c>
      <c r="C495" s="2"/>
      <c r="D495" s="2"/>
      <c r="E495" s="2"/>
      <c r="F495" s="76">
        <f t="shared" ref="F495:Z495" si="151">F468</f>
        <v>4091.3582775393425</v>
      </c>
      <c r="G495" s="76">
        <f t="shared" si="151"/>
        <v>3304.0213603147358</v>
      </c>
      <c r="H495" s="76">
        <f t="shared" si="151"/>
        <v>3337.0615739178838</v>
      </c>
      <c r="I495" s="76">
        <f t="shared" si="151"/>
        <v>4190.482189657062</v>
      </c>
      <c r="J495" s="76">
        <f t="shared" si="151"/>
        <v>3404.1365115536332</v>
      </c>
      <c r="K495" s="76">
        <f t="shared" si="151"/>
        <v>3438.1778766691691</v>
      </c>
      <c r="L495" s="76">
        <f t="shared" si="151"/>
        <v>4292.6096554358601</v>
      </c>
      <c r="M495" s="76">
        <f t="shared" si="151"/>
        <v>3507.2852519902185</v>
      </c>
      <c r="N495" s="76">
        <f t="shared" si="151"/>
        <v>3542.3581045101218</v>
      </c>
      <c r="O495" s="76">
        <f t="shared" si="151"/>
        <v>4397.831685555223</v>
      </c>
      <c r="P495" s="76">
        <f t="shared" si="151"/>
        <v>3613.5595024107752</v>
      </c>
      <c r="Q495" s="76">
        <f t="shared" si="151"/>
        <v>3649.6950974348829</v>
      </c>
      <c r="R495" s="76">
        <f t="shared" si="151"/>
        <v>4506.2420484092318</v>
      </c>
      <c r="S495" s="76">
        <f t="shared" si="151"/>
        <v>3723.0539688933241</v>
      </c>
      <c r="T495" s="76">
        <f t="shared" si="151"/>
        <v>3760.2845085822573</v>
      </c>
      <c r="U495" s="76">
        <f t="shared" si="151"/>
        <v>4617.9373536680805</v>
      </c>
      <c r="V495" s="76">
        <f t="shared" si="151"/>
        <v>3835.8662272047609</v>
      </c>
      <c r="W495" s="76">
        <f t="shared" si="151"/>
        <v>3874.224889476809</v>
      </c>
      <c r="X495" s="76">
        <f t="shared" si="151"/>
        <v>4733.0171383715769</v>
      </c>
      <c r="Y495" s="76">
        <f t="shared" si="151"/>
        <v>3952.0968097552923</v>
      </c>
      <c r="Z495" s="77">
        <f t="shared" si="151"/>
        <v>3991.6177778528458</v>
      </c>
    </row>
    <row r="496" spans="1:26" x14ac:dyDescent="0.25">
      <c r="A496" s="27"/>
      <c r="B496" s="9" t="s">
        <v>262</v>
      </c>
      <c r="C496" s="2"/>
      <c r="D496" s="2"/>
      <c r="E496" s="2"/>
      <c r="F496" s="76"/>
      <c r="G496" s="76">
        <f>0.3*$F$14*($F$402*$D$174*G205+$F$403*$D$173)</f>
        <v>72.122066899141643</v>
      </c>
      <c r="H496" s="76"/>
      <c r="I496" s="76"/>
      <c r="J496" s="76"/>
      <c r="K496" s="76"/>
      <c r="L496" s="76"/>
      <c r="M496" s="76"/>
      <c r="N496" s="76"/>
      <c r="O496" s="76"/>
      <c r="P496" s="76">
        <f>0.3*$F$14*($F$402*$D$174*P205+$F$403*$D$173)</f>
        <v>72.122066899141643</v>
      </c>
      <c r="Q496" s="76"/>
      <c r="R496" s="76"/>
      <c r="S496" s="76"/>
      <c r="T496" s="76"/>
      <c r="U496" s="76"/>
      <c r="V496" s="76"/>
      <c r="W496" s="76"/>
      <c r="X496" s="76"/>
      <c r="Y496" s="76"/>
      <c r="Z496" s="77">
        <f>0.3*$F$14*($F$402*$D$174*Z205+$F$403*$D$173)</f>
        <v>72.122066899141643</v>
      </c>
    </row>
    <row r="497" spans="1:26" x14ac:dyDescent="0.25">
      <c r="A497" s="27"/>
      <c r="B497" s="9" t="s">
        <v>62</v>
      </c>
      <c r="C497" s="2"/>
      <c r="D497" s="2"/>
      <c r="E497" s="2"/>
      <c r="F497" s="76">
        <f t="shared" ref="F497:Z497" si="152">F310</f>
        <v>3385.2356999999997</v>
      </c>
      <c r="G497" s="76">
        <f t="shared" si="152"/>
        <v>2369.6649899999998</v>
      </c>
      <c r="H497" s="76">
        <f t="shared" si="152"/>
        <v>2369.6649899999998</v>
      </c>
      <c r="I497" s="76">
        <f t="shared" si="152"/>
        <v>2369.6649899999998</v>
      </c>
      <c r="J497" s="76">
        <f t="shared" si="152"/>
        <v>2704.8033243</v>
      </c>
      <c r="K497" s="76">
        <f t="shared" si="152"/>
        <v>3039.9416585999998</v>
      </c>
      <c r="L497" s="76">
        <f t="shared" si="152"/>
        <v>3385.2356999999997</v>
      </c>
      <c r="M497" s="76">
        <f t="shared" si="152"/>
        <v>3385.2356999999997</v>
      </c>
      <c r="N497" s="76">
        <f t="shared" si="152"/>
        <v>3385.2356999999997</v>
      </c>
      <c r="O497" s="76">
        <f t="shared" si="152"/>
        <v>3385.2356999999997</v>
      </c>
      <c r="P497" s="76">
        <f t="shared" si="152"/>
        <v>2369.6649899999998</v>
      </c>
      <c r="Q497" s="76">
        <f t="shared" si="152"/>
        <v>2369.6649899999998</v>
      </c>
      <c r="R497" s="76">
        <f t="shared" si="152"/>
        <v>2369.6649899999998</v>
      </c>
      <c r="S497" s="76">
        <f t="shared" si="152"/>
        <v>2704.8033243</v>
      </c>
      <c r="T497" s="76">
        <f t="shared" si="152"/>
        <v>3039.9416585999998</v>
      </c>
      <c r="U497" s="76">
        <f t="shared" si="152"/>
        <v>3385.2356999999997</v>
      </c>
      <c r="V497" s="76">
        <f t="shared" si="152"/>
        <v>3385.2356999999997</v>
      </c>
      <c r="W497" s="76">
        <f t="shared" si="152"/>
        <v>3385.2356999999997</v>
      </c>
      <c r="X497" s="76">
        <f t="shared" si="152"/>
        <v>3385.2356999999997</v>
      </c>
      <c r="Y497" s="76">
        <f t="shared" si="152"/>
        <v>3385.2356999999997</v>
      </c>
      <c r="Z497" s="77">
        <f t="shared" si="152"/>
        <v>2369.6649899999998</v>
      </c>
    </row>
    <row r="498" spans="1:26" x14ac:dyDescent="0.25">
      <c r="A498" s="27"/>
      <c r="B498" s="9" t="s">
        <v>63</v>
      </c>
      <c r="C498" s="2"/>
      <c r="D498" s="2"/>
      <c r="E498" s="2"/>
      <c r="F498" s="76">
        <f t="shared" ref="F498:Z498" si="153">F311</f>
        <v>7180.802999999999</v>
      </c>
      <c r="G498" s="76">
        <f t="shared" si="153"/>
        <v>5026.5620999999992</v>
      </c>
      <c r="H498" s="76">
        <f t="shared" si="153"/>
        <v>5026.5620999999992</v>
      </c>
      <c r="I498" s="76">
        <f t="shared" si="153"/>
        <v>5026.5620999999992</v>
      </c>
      <c r="J498" s="76">
        <f t="shared" si="153"/>
        <v>5737.4615969999995</v>
      </c>
      <c r="K498" s="76">
        <f t="shared" si="153"/>
        <v>6448.361093999999</v>
      </c>
      <c r="L498" s="76">
        <f t="shared" si="153"/>
        <v>7180.802999999999</v>
      </c>
      <c r="M498" s="76">
        <f t="shared" si="153"/>
        <v>7180.802999999999</v>
      </c>
      <c r="N498" s="76">
        <f t="shared" si="153"/>
        <v>7180.802999999999</v>
      </c>
      <c r="O498" s="76">
        <f t="shared" si="153"/>
        <v>7180.802999999999</v>
      </c>
      <c r="P498" s="76">
        <f t="shared" si="153"/>
        <v>5026.5620999999992</v>
      </c>
      <c r="Q498" s="76">
        <f t="shared" si="153"/>
        <v>5026.5620999999992</v>
      </c>
      <c r="R498" s="76">
        <f t="shared" si="153"/>
        <v>5026.5620999999992</v>
      </c>
      <c r="S498" s="76">
        <f t="shared" si="153"/>
        <v>5737.4615969999995</v>
      </c>
      <c r="T498" s="76">
        <f t="shared" si="153"/>
        <v>6448.361093999999</v>
      </c>
      <c r="U498" s="76">
        <f t="shared" si="153"/>
        <v>7180.802999999999</v>
      </c>
      <c r="V498" s="76">
        <f t="shared" si="153"/>
        <v>7180.802999999999</v>
      </c>
      <c r="W498" s="76">
        <f t="shared" si="153"/>
        <v>7180.802999999999</v>
      </c>
      <c r="X498" s="76">
        <f t="shared" si="153"/>
        <v>7180.802999999999</v>
      </c>
      <c r="Y498" s="76">
        <f t="shared" si="153"/>
        <v>7180.802999999999</v>
      </c>
      <c r="Z498" s="77">
        <f t="shared" si="153"/>
        <v>5026.5620999999992</v>
      </c>
    </row>
    <row r="499" spans="1:26" x14ac:dyDescent="0.25">
      <c r="A499" s="27"/>
      <c r="B499" s="56" t="s">
        <v>57</v>
      </c>
      <c r="C499" s="39"/>
      <c r="D499" s="39"/>
      <c r="E499" s="39"/>
      <c r="F499" s="109">
        <f t="shared" ref="F499:Z499" si="154">SUM(F497:F498)-SUM(F494:F496)</f>
        <v>3053.543083404863</v>
      </c>
      <c r="G499" s="109">
        <f t="shared" si="154"/>
        <v>598.94632373032709</v>
      </c>
      <c r="H499" s="109">
        <f t="shared" si="154"/>
        <v>638.02817702632092</v>
      </c>
      <c r="I499" s="109">
        <f t="shared" si="154"/>
        <v>-215.39243871285726</v>
      </c>
      <c r="J499" s="109">
        <f t="shared" si="154"/>
        <v>1616.9910706905739</v>
      </c>
      <c r="K499" s="109">
        <f t="shared" si="154"/>
        <v>2628.9875368750363</v>
      </c>
      <c r="L499" s="109">
        <f t="shared" si="154"/>
        <v>2852.2917055083453</v>
      </c>
      <c r="M499" s="109">
        <f t="shared" si="154"/>
        <v>3637.6161089539874</v>
      </c>
      <c r="N499" s="109">
        <f t="shared" si="154"/>
        <v>3602.5432564340836</v>
      </c>
      <c r="O499" s="109">
        <f t="shared" si="154"/>
        <v>2747.0696753889824</v>
      </c>
      <c r="P499" s="109">
        <f t="shared" si="154"/>
        <v>289.40818163428776</v>
      </c>
      <c r="Q499" s="109">
        <f t="shared" si="154"/>
        <v>325.39465350932187</v>
      </c>
      <c r="R499" s="109">
        <f t="shared" si="154"/>
        <v>-531.152297465027</v>
      </c>
      <c r="S499" s="109">
        <f t="shared" si="154"/>
        <v>1298.0736133508826</v>
      </c>
      <c r="T499" s="109">
        <f t="shared" si="154"/>
        <v>2306.8809049619476</v>
      </c>
      <c r="U499" s="109">
        <f t="shared" si="154"/>
        <v>2526.9640072761249</v>
      </c>
      <c r="V499" s="109">
        <f t="shared" si="154"/>
        <v>3309.0351337394441</v>
      </c>
      <c r="W499" s="109">
        <f t="shared" si="154"/>
        <v>3270.6764714673964</v>
      </c>
      <c r="X499" s="109">
        <f t="shared" si="154"/>
        <v>2411.8842225726285</v>
      </c>
      <c r="Y499" s="109">
        <f t="shared" si="154"/>
        <v>3192.8045511889131</v>
      </c>
      <c r="Z499" s="110">
        <f t="shared" si="154"/>
        <v>-88.650093807783378</v>
      </c>
    </row>
    <row r="500" spans="1:26" x14ac:dyDescent="0.25">
      <c r="A500" s="27"/>
      <c r="B500" s="9"/>
      <c r="C500" s="2"/>
      <c r="D500" s="2"/>
      <c r="E500" s="2"/>
      <c r="F500" s="76"/>
      <c r="G500" s="76"/>
      <c r="H500" s="76"/>
      <c r="I500" s="76"/>
      <c r="J500" s="76"/>
      <c r="K500" s="76"/>
      <c r="L500" s="76"/>
      <c r="M500" s="76"/>
      <c r="N500" s="76"/>
      <c r="O500" s="76"/>
      <c r="P500" s="76"/>
      <c r="Q500" s="76"/>
      <c r="R500" s="76"/>
      <c r="S500" s="76"/>
      <c r="T500" s="76"/>
      <c r="U500" s="76"/>
      <c r="V500" s="76"/>
      <c r="W500" s="76"/>
      <c r="X500" s="76"/>
      <c r="Y500" s="76"/>
      <c r="Z500" s="77"/>
    </row>
    <row r="501" spans="1:26" ht="15.75" x14ac:dyDescent="0.25">
      <c r="A501" s="38"/>
      <c r="B501" s="108" t="s">
        <v>65</v>
      </c>
      <c r="C501" s="2"/>
      <c r="D501" s="2"/>
      <c r="E501" s="2"/>
      <c r="F501" s="76"/>
      <c r="G501" s="76"/>
      <c r="H501" s="76"/>
      <c r="I501" s="76"/>
      <c r="J501" s="76"/>
      <c r="K501" s="76"/>
      <c r="L501" s="76"/>
      <c r="M501" s="76"/>
      <c r="N501" s="76"/>
      <c r="O501" s="76"/>
      <c r="P501" s="76"/>
      <c r="Q501" s="78"/>
      <c r="R501" s="78"/>
      <c r="S501" s="78"/>
      <c r="T501" s="78"/>
      <c r="U501" s="78"/>
      <c r="V501" s="78"/>
      <c r="W501" s="78"/>
      <c r="X501" s="78"/>
      <c r="Y501" s="78"/>
      <c r="Z501" s="79"/>
    </row>
    <row r="502" spans="1:26" x14ac:dyDescent="0.25">
      <c r="A502" s="38"/>
      <c r="B502" s="106" t="s">
        <v>60</v>
      </c>
      <c r="C502" s="2"/>
      <c r="D502" s="2"/>
      <c r="E502" s="2"/>
      <c r="F502" s="76">
        <f t="shared" ref="F502:Z502" si="155">F315*$D$174</f>
        <v>3421.1373390557937</v>
      </c>
      <c r="G502" s="76">
        <f t="shared" si="155"/>
        <v>5097.9077253218884</v>
      </c>
      <c r="H502" s="76">
        <f t="shared" si="155"/>
        <v>5097.9077253218884</v>
      </c>
      <c r="I502" s="76">
        <f t="shared" si="155"/>
        <v>5097.9077253218884</v>
      </c>
      <c r="J502" s="76">
        <f t="shared" si="155"/>
        <v>5097.9077253218884</v>
      </c>
      <c r="K502" s="76">
        <f t="shared" si="155"/>
        <v>5097.9077253218884</v>
      </c>
      <c r="L502" s="76">
        <f t="shared" si="155"/>
        <v>5097.9077253218884</v>
      </c>
      <c r="M502" s="76">
        <f t="shared" si="155"/>
        <v>5097.9077253218884</v>
      </c>
      <c r="N502" s="76">
        <f t="shared" si="155"/>
        <v>5097.9077253218884</v>
      </c>
      <c r="O502" s="76">
        <f t="shared" si="155"/>
        <v>5097.9077253218884</v>
      </c>
      <c r="P502" s="76">
        <f t="shared" si="155"/>
        <v>5097.9077253218884</v>
      </c>
      <c r="Q502" s="76">
        <f t="shared" si="155"/>
        <v>5097.9077253218884</v>
      </c>
      <c r="R502" s="76">
        <f t="shared" si="155"/>
        <v>5097.9077253218884</v>
      </c>
      <c r="S502" s="76">
        <f t="shared" si="155"/>
        <v>5097.9077253218884</v>
      </c>
      <c r="T502" s="76">
        <f t="shared" si="155"/>
        <v>5097.9077253218884</v>
      </c>
      <c r="U502" s="76">
        <f t="shared" si="155"/>
        <v>5097.9077253218884</v>
      </c>
      <c r="V502" s="76">
        <f t="shared" si="155"/>
        <v>5097.9077253218884</v>
      </c>
      <c r="W502" s="76">
        <f t="shared" si="155"/>
        <v>5097.9077253218884</v>
      </c>
      <c r="X502" s="76">
        <f t="shared" si="155"/>
        <v>5097.9077253218884</v>
      </c>
      <c r="Y502" s="76">
        <f t="shared" si="155"/>
        <v>5097.9077253218884</v>
      </c>
      <c r="Z502" s="77">
        <f t="shared" si="155"/>
        <v>5097.9077253218884</v>
      </c>
    </row>
    <row r="503" spans="1:26" x14ac:dyDescent="0.25">
      <c r="A503" s="38"/>
      <c r="B503" s="9" t="s">
        <v>61</v>
      </c>
      <c r="C503" s="2"/>
      <c r="D503" s="2"/>
      <c r="E503" s="2"/>
      <c r="F503" s="76">
        <f t="shared" ref="F503:Z503" si="156">F475</f>
        <v>4091.3582775393425</v>
      </c>
      <c r="G503" s="76">
        <f t="shared" si="156"/>
        <v>5168.2028517310455</v>
      </c>
      <c r="H503" s="76">
        <f t="shared" si="156"/>
        <v>5219.8848802483553</v>
      </c>
      <c r="I503" s="76">
        <f t="shared" si="156"/>
        <v>6092.1337290508382</v>
      </c>
      <c r="J503" s="76">
        <f t="shared" si="156"/>
        <v>5324.8045663413477</v>
      </c>
      <c r="K503" s="76">
        <f t="shared" si="156"/>
        <v>5378.0526120047607</v>
      </c>
      <c r="L503" s="76">
        <f t="shared" si="156"/>
        <v>6251.8831381248092</v>
      </c>
      <c r="M503" s="76">
        <f t="shared" si="156"/>
        <v>5486.1514695060559</v>
      </c>
      <c r="N503" s="76">
        <f t="shared" si="156"/>
        <v>5541.0129842011174</v>
      </c>
      <c r="O503" s="76">
        <f t="shared" si="156"/>
        <v>6416.4731140431277</v>
      </c>
      <c r="P503" s="76">
        <f t="shared" si="156"/>
        <v>5652.3873451835598</v>
      </c>
      <c r="Q503" s="76">
        <f t="shared" si="156"/>
        <v>5708.911218635395</v>
      </c>
      <c r="R503" s="76">
        <f t="shared" si="156"/>
        <v>6586.0503308217494</v>
      </c>
      <c r="S503" s="76">
        <f t="shared" si="156"/>
        <v>5823.6603341299669</v>
      </c>
      <c r="T503" s="76">
        <f t="shared" si="156"/>
        <v>5881.8969374712669</v>
      </c>
      <c r="U503" s="76">
        <f t="shared" si="156"/>
        <v>6760.7659068459798</v>
      </c>
      <c r="V503" s="76">
        <f t="shared" si="156"/>
        <v>6000.1230659144385</v>
      </c>
      <c r="W503" s="76">
        <f t="shared" si="156"/>
        <v>6060.1242965735837</v>
      </c>
      <c r="X503" s="76">
        <f t="shared" si="156"/>
        <v>6940.7755395393197</v>
      </c>
      <c r="Y503" s="76">
        <f t="shared" si="156"/>
        <v>6181.9327949347125</v>
      </c>
      <c r="Z503" s="77">
        <f t="shared" si="156"/>
        <v>6243.7521228840615</v>
      </c>
    </row>
    <row r="504" spans="1:26" x14ac:dyDescent="0.25">
      <c r="A504" s="27"/>
      <c r="B504" s="9" t="s">
        <v>262</v>
      </c>
      <c r="C504" s="2"/>
      <c r="D504" s="2"/>
      <c r="E504" s="2"/>
      <c r="F504" s="76"/>
      <c r="G504" s="76">
        <f>0.3*$F$14*($H$402*$D$174*G205+$H$403*$D$173)</f>
        <v>244.28694950643779</v>
      </c>
      <c r="H504" s="76"/>
      <c r="I504" s="76"/>
      <c r="J504" s="76"/>
      <c r="K504" s="76"/>
      <c r="L504" s="76"/>
      <c r="M504" s="76"/>
      <c r="N504" s="76"/>
      <c r="O504" s="76"/>
      <c r="P504" s="76">
        <f>0.3*$F$14*($H$402*$D$174*P205+$H$403*$D$173)</f>
        <v>244.28694950643779</v>
      </c>
      <c r="Q504" s="76"/>
      <c r="R504" s="76"/>
      <c r="S504" s="76"/>
      <c r="T504" s="76"/>
      <c r="U504" s="76"/>
      <c r="V504" s="76"/>
      <c r="W504" s="76"/>
      <c r="X504" s="76"/>
      <c r="Y504" s="76"/>
      <c r="Z504" s="77">
        <f>0.3*$F$14*($H$402*$D$174*Z205+$H$403*$D$173)</f>
        <v>244.28694950643779</v>
      </c>
    </row>
    <row r="505" spans="1:26" x14ac:dyDescent="0.25">
      <c r="A505" s="27"/>
      <c r="B505" s="9" t="s">
        <v>62</v>
      </c>
      <c r="C505" s="2"/>
      <c r="D505" s="2"/>
      <c r="E505" s="2"/>
      <c r="F505" s="76">
        <f t="shared" ref="F505:Z505" si="157">F318</f>
        <v>3385.2356999999997</v>
      </c>
      <c r="G505" s="76">
        <f t="shared" si="157"/>
        <v>2606.6314889999999</v>
      </c>
      <c r="H505" s="76">
        <f t="shared" si="157"/>
        <v>1150.5864476259999</v>
      </c>
      <c r="I505" s="76">
        <f t="shared" si="157"/>
        <v>1265.6450923886002</v>
      </c>
      <c r="J505" s="76">
        <f t="shared" si="157"/>
        <v>1556.4218027650602</v>
      </c>
      <c r="K505" s="76">
        <f t="shared" si="157"/>
        <v>1765.9339214578602</v>
      </c>
      <c r="L505" s="76">
        <f t="shared" si="157"/>
        <v>2027.0948097874602</v>
      </c>
      <c r="M505" s="76">
        <f t="shared" si="157"/>
        <v>2095.7310485074604</v>
      </c>
      <c r="N505" s="76">
        <f t="shared" si="157"/>
        <v>2095.7310485074604</v>
      </c>
      <c r="O505" s="76">
        <f t="shared" si="157"/>
        <v>1988.8708594678003</v>
      </c>
      <c r="P505" s="76">
        <f t="shared" si="157"/>
        <v>1392.2096016274602</v>
      </c>
      <c r="Q505" s="76">
        <f t="shared" si="157"/>
        <v>1392.2096016274602</v>
      </c>
      <c r="R505" s="76">
        <f t="shared" si="157"/>
        <v>1392.2096016274602</v>
      </c>
      <c r="S505" s="76">
        <f t="shared" si="157"/>
        <v>1556.4218027650602</v>
      </c>
      <c r="T505" s="76">
        <f t="shared" si="157"/>
        <v>1765.9339214578602</v>
      </c>
      <c r="U505" s="76">
        <f t="shared" si="157"/>
        <v>2027.0948097874602</v>
      </c>
      <c r="V505" s="76">
        <f t="shared" si="157"/>
        <v>2095.7310485074604</v>
      </c>
      <c r="W505" s="76">
        <f t="shared" si="157"/>
        <v>2095.7310485074604</v>
      </c>
      <c r="X505" s="76">
        <f t="shared" si="157"/>
        <v>1988.8708594678003</v>
      </c>
      <c r="Y505" s="76">
        <f t="shared" si="157"/>
        <v>1988.8708594678003</v>
      </c>
      <c r="Z505" s="77">
        <f t="shared" si="157"/>
        <v>1392.2096016274602</v>
      </c>
    </row>
    <row r="506" spans="1:26" x14ac:dyDescent="0.25">
      <c r="A506" s="27"/>
      <c r="B506" s="9" t="s">
        <v>63</v>
      </c>
      <c r="C506" s="2"/>
      <c r="D506" s="2"/>
      <c r="E506" s="2"/>
      <c r="F506" s="76">
        <f t="shared" ref="F506:Z506" si="158">F319</f>
        <v>7180.802999999999</v>
      </c>
      <c r="G506" s="76">
        <f t="shared" si="158"/>
        <v>5529.2183099999993</v>
      </c>
      <c r="H506" s="76">
        <f t="shared" si="158"/>
        <v>10252.7505234</v>
      </c>
      <c r="I506" s="76">
        <f t="shared" si="158"/>
        <v>11278.025575740003</v>
      </c>
      <c r="J506" s="76">
        <f t="shared" si="158"/>
        <v>13869.105173154006</v>
      </c>
      <c r="K506" s="76">
        <f t="shared" si="158"/>
        <v>15736.044844674005</v>
      </c>
      <c r="L506" s="76">
        <f t="shared" si="158"/>
        <v>18063.221077314003</v>
      </c>
      <c r="M506" s="76">
        <f t="shared" si="158"/>
        <v>18674.831125314005</v>
      </c>
      <c r="N506" s="76">
        <f t="shared" si="158"/>
        <v>18674.831125314005</v>
      </c>
      <c r="O506" s="76">
        <f t="shared" si="158"/>
        <v>17722.611619020008</v>
      </c>
      <c r="P506" s="76">
        <f t="shared" si="158"/>
        <v>12405.828133314006</v>
      </c>
      <c r="Q506" s="76">
        <f t="shared" si="158"/>
        <v>12405.828133314006</v>
      </c>
      <c r="R506" s="76">
        <f t="shared" si="158"/>
        <v>12405.828133314006</v>
      </c>
      <c r="S506" s="76">
        <f t="shared" si="158"/>
        <v>13869.105173154006</v>
      </c>
      <c r="T506" s="76">
        <f t="shared" si="158"/>
        <v>15736.044844674005</v>
      </c>
      <c r="U506" s="76">
        <f t="shared" si="158"/>
        <v>18063.221077314003</v>
      </c>
      <c r="V506" s="76">
        <f t="shared" si="158"/>
        <v>18674.831125314005</v>
      </c>
      <c r="W506" s="76">
        <f t="shared" si="158"/>
        <v>18674.831125314005</v>
      </c>
      <c r="X506" s="76">
        <f t="shared" si="158"/>
        <v>17722.611619020008</v>
      </c>
      <c r="Y506" s="76">
        <f t="shared" si="158"/>
        <v>17722.611619020008</v>
      </c>
      <c r="Z506" s="222">
        <f t="shared" si="158"/>
        <v>12405.828133314006</v>
      </c>
    </row>
    <row r="507" spans="1:26" x14ac:dyDescent="0.25">
      <c r="A507" s="27"/>
      <c r="B507" s="56" t="s">
        <v>57</v>
      </c>
      <c r="C507" s="39"/>
      <c r="D507" s="39"/>
      <c r="E507" s="39"/>
      <c r="F507" s="109">
        <f t="shared" ref="F507:Z507" si="159">SUM(F505:F506)-SUM(F502:F504)</f>
        <v>3053.543083404863</v>
      </c>
      <c r="G507" s="109">
        <f t="shared" si="159"/>
        <v>-2374.5477275593712</v>
      </c>
      <c r="H507" s="109">
        <f t="shared" si="159"/>
        <v>1085.5443654557548</v>
      </c>
      <c r="I507" s="109">
        <f t="shared" si="159"/>
        <v>1353.6292137558758</v>
      </c>
      <c r="J507" s="109">
        <f t="shared" si="159"/>
        <v>5002.8146842558308</v>
      </c>
      <c r="K507" s="109">
        <f t="shared" si="159"/>
        <v>7026.0184288052169</v>
      </c>
      <c r="L507" s="109">
        <f t="shared" si="159"/>
        <v>8740.5250236547654</v>
      </c>
      <c r="M507" s="109">
        <f t="shared" si="159"/>
        <v>10186.502978993522</v>
      </c>
      <c r="N507" s="109">
        <f t="shared" si="159"/>
        <v>10131.64146429846</v>
      </c>
      <c r="O507" s="109">
        <f t="shared" si="159"/>
        <v>8197.1016391227913</v>
      </c>
      <c r="P507" s="109">
        <f t="shared" si="159"/>
        <v>2803.4557149295815</v>
      </c>
      <c r="Q507" s="109">
        <f t="shared" si="159"/>
        <v>2991.2187909841832</v>
      </c>
      <c r="R507" s="109">
        <f t="shared" si="159"/>
        <v>2114.0796787978288</v>
      </c>
      <c r="S507" s="109">
        <f t="shared" si="159"/>
        <v>4503.9589164672107</v>
      </c>
      <c r="T507" s="109">
        <f t="shared" si="159"/>
        <v>6522.1741033387116</v>
      </c>
      <c r="U507" s="109">
        <f t="shared" si="159"/>
        <v>8231.6422549335948</v>
      </c>
      <c r="V507" s="109">
        <f t="shared" si="159"/>
        <v>9672.5313825851372</v>
      </c>
      <c r="W507" s="109">
        <f t="shared" si="159"/>
        <v>9612.530151925992</v>
      </c>
      <c r="X507" s="109">
        <f t="shared" si="159"/>
        <v>7672.7992136266002</v>
      </c>
      <c r="Y507" s="109">
        <f t="shared" si="159"/>
        <v>8431.6419582312064</v>
      </c>
      <c r="Z507" s="110">
        <f t="shared" si="159"/>
        <v>2212.0909372290807</v>
      </c>
    </row>
    <row r="508" spans="1:26" x14ac:dyDescent="0.25">
      <c r="A508" s="27"/>
      <c r="B508" s="9"/>
      <c r="C508" s="2"/>
      <c r="D508" s="2"/>
      <c r="E508" s="2"/>
      <c r="F508" s="76"/>
      <c r="G508" s="76"/>
      <c r="H508" s="76"/>
      <c r="I508" s="76"/>
      <c r="J508" s="76"/>
      <c r="K508" s="76"/>
      <c r="L508" s="76"/>
      <c r="M508" s="76"/>
      <c r="N508" s="76"/>
      <c r="O508" s="76"/>
      <c r="P508" s="76"/>
      <c r="Q508" s="78"/>
      <c r="R508" s="78"/>
      <c r="S508" s="78"/>
      <c r="T508" s="78"/>
      <c r="U508" s="78"/>
      <c r="V508" s="78"/>
      <c r="W508" s="78"/>
      <c r="X508" s="78"/>
      <c r="Y508" s="78"/>
      <c r="Z508" s="75"/>
    </row>
    <row r="509" spans="1:26" x14ac:dyDescent="0.25">
      <c r="A509" s="27"/>
      <c r="B509" s="9" t="s">
        <v>201</v>
      </c>
      <c r="C509" s="2"/>
      <c r="D509" s="2"/>
      <c r="E509" s="2"/>
      <c r="F509" s="76"/>
      <c r="G509" s="76"/>
      <c r="H509" s="76"/>
      <c r="I509" s="76"/>
      <c r="J509" s="76"/>
      <c r="K509" s="76"/>
      <c r="L509" s="76"/>
      <c r="M509" s="76"/>
      <c r="N509" s="76"/>
      <c r="O509" s="76"/>
      <c r="P509" s="76"/>
      <c r="Q509" s="78"/>
      <c r="R509" s="78"/>
      <c r="S509" s="78"/>
      <c r="T509" s="78"/>
      <c r="U509" s="78"/>
      <c r="V509" s="78"/>
      <c r="W509" s="78"/>
      <c r="X509" s="78"/>
      <c r="Y509" s="78"/>
      <c r="Z509" s="79"/>
    </row>
    <row r="510" spans="1:26" x14ac:dyDescent="0.25">
      <c r="A510" s="27"/>
      <c r="B510" s="106" t="s">
        <v>60</v>
      </c>
      <c r="C510" s="2"/>
      <c r="D510" s="2"/>
      <c r="E510" s="2"/>
      <c r="F510" s="76">
        <f t="shared" ref="F510:Z510" si="160">F502-F494</f>
        <v>0</v>
      </c>
      <c r="G510" s="76">
        <f t="shared" si="160"/>
        <v>1676.7703862660946</v>
      </c>
      <c r="H510" s="76">
        <f t="shared" si="160"/>
        <v>1676.7703862660946</v>
      </c>
      <c r="I510" s="76">
        <f t="shared" si="160"/>
        <v>1676.7703862660946</v>
      </c>
      <c r="J510" s="76">
        <f t="shared" si="160"/>
        <v>1676.7703862660946</v>
      </c>
      <c r="K510" s="76">
        <f t="shared" si="160"/>
        <v>1676.7703862660946</v>
      </c>
      <c r="L510" s="76">
        <f t="shared" si="160"/>
        <v>1676.7703862660946</v>
      </c>
      <c r="M510" s="76">
        <f t="shared" si="160"/>
        <v>1676.7703862660946</v>
      </c>
      <c r="N510" s="76">
        <f t="shared" si="160"/>
        <v>1676.7703862660946</v>
      </c>
      <c r="O510" s="76">
        <f t="shared" si="160"/>
        <v>1676.7703862660946</v>
      </c>
      <c r="P510" s="76">
        <f t="shared" si="160"/>
        <v>1676.7703862660946</v>
      </c>
      <c r="Q510" s="76">
        <f t="shared" si="160"/>
        <v>1676.7703862660946</v>
      </c>
      <c r="R510" s="76">
        <f t="shared" si="160"/>
        <v>1676.7703862660946</v>
      </c>
      <c r="S510" s="76">
        <f t="shared" si="160"/>
        <v>1676.7703862660946</v>
      </c>
      <c r="T510" s="76">
        <f t="shared" si="160"/>
        <v>1676.7703862660946</v>
      </c>
      <c r="U510" s="76">
        <f t="shared" si="160"/>
        <v>1676.7703862660946</v>
      </c>
      <c r="V510" s="76">
        <f t="shared" si="160"/>
        <v>1676.7703862660946</v>
      </c>
      <c r="W510" s="76">
        <f t="shared" si="160"/>
        <v>1676.7703862660946</v>
      </c>
      <c r="X510" s="76">
        <f t="shared" si="160"/>
        <v>1676.7703862660946</v>
      </c>
      <c r="Y510" s="76">
        <f t="shared" si="160"/>
        <v>1676.7703862660946</v>
      </c>
      <c r="Z510" s="77">
        <f t="shared" si="160"/>
        <v>1676.7703862660946</v>
      </c>
    </row>
    <row r="511" spans="1:26" x14ac:dyDescent="0.25">
      <c r="A511" s="27"/>
      <c r="B511" s="9" t="s">
        <v>61</v>
      </c>
      <c r="C511" s="2"/>
      <c r="D511" s="2"/>
      <c r="E511" s="2"/>
      <c r="F511" s="76">
        <f t="shared" ref="F511:Z511" si="161">F503-F495</f>
        <v>0</v>
      </c>
      <c r="G511" s="76">
        <f t="shared" si="161"/>
        <v>1864.1814914163097</v>
      </c>
      <c r="H511" s="76">
        <f t="shared" si="161"/>
        <v>1882.8233063304715</v>
      </c>
      <c r="I511" s="76">
        <f t="shared" si="161"/>
        <v>1901.6515393937761</v>
      </c>
      <c r="J511" s="76">
        <f t="shared" si="161"/>
        <v>1920.6680547877145</v>
      </c>
      <c r="K511" s="76">
        <f t="shared" si="161"/>
        <v>1939.8747353355916</v>
      </c>
      <c r="L511" s="76">
        <f t="shared" si="161"/>
        <v>1959.2734826889491</v>
      </c>
      <c r="M511" s="76">
        <f t="shared" si="161"/>
        <v>1978.8662175158374</v>
      </c>
      <c r="N511" s="76">
        <f t="shared" si="161"/>
        <v>1998.6548796909956</v>
      </c>
      <c r="O511" s="76">
        <f t="shared" si="161"/>
        <v>2018.6414284879047</v>
      </c>
      <c r="P511" s="76">
        <f t="shared" si="161"/>
        <v>2038.8278427727846</v>
      </c>
      <c r="Q511" s="76">
        <f t="shared" si="161"/>
        <v>2059.2161212005121</v>
      </c>
      <c r="R511" s="76">
        <f t="shared" si="161"/>
        <v>2079.8082824125177</v>
      </c>
      <c r="S511" s="76">
        <f t="shared" si="161"/>
        <v>2100.6063652366429</v>
      </c>
      <c r="T511" s="76">
        <f t="shared" si="161"/>
        <v>2121.6124288890096</v>
      </c>
      <c r="U511" s="76">
        <f t="shared" si="161"/>
        <v>2142.8285531778993</v>
      </c>
      <c r="V511" s="76">
        <f t="shared" si="161"/>
        <v>2164.2568387096776</v>
      </c>
      <c r="W511" s="76">
        <f t="shared" si="161"/>
        <v>2185.8994070967747</v>
      </c>
      <c r="X511" s="76">
        <f t="shared" si="161"/>
        <v>2207.7584011677427</v>
      </c>
      <c r="Y511" s="76">
        <f t="shared" si="161"/>
        <v>2229.8359851794203</v>
      </c>
      <c r="Z511" s="77">
        <f t="shared" si="161"/>
        <v>2252.1343450312156</v>
      </c>
    </row>
    <row r="512" spans="1:26" x14ac:dyDescent="0.25">
      <c r="A512" s="27"/>
      <c r="B512" s="9" t="s">
        <v>262</v>
      </c>
      <c r="C512" s="2"/>
      <c r="D512" s="2"/>
      <c r="E512" s="2"/>
      <c r="F512" s="76">
        <f t="shared" ref="F512:Z512" si="162">F504-F496</f>
        <v>0</v>
      </c>
      <c r="G512" s="76">
        <f t="shared" si="162"/>
        <v>172.16488260729614</v>
      </c>
      <c r="H512" s="76">
        <f t="shared" si="162"/>
        <v>0</v>
      </c>
      <c r="I512" s="76">
        <f t="shared" si="162"/>
        <v>0</v>
      </c>
      <c r="J512" s="76">
        <f t="shared" si="162"/>
        <v>0</v>
      </c>
      <c r="K512" s="76">
        <f t="shared" si="162"/>
        <v>0</v>
      </c>
      <c r="L512" s="76">
        <f t="shared" si="162"/>
        <v>0</v>
      </c>
      <c r="M512" s="76">
        <f t="shared" si="162"/>
        <v>0</v>
      </c>
      <c r="N512" s="76">
        <f t="shared" si="162"/>
        <v>0</v>
      </c>
      <c r="O512" s="76">
        <f t="shared" si="162"/>
        <v>0</v>
      </c>
      <c r="P512" s="76">
        <f t="shared" si="162"/>
        <v>172.16488260729614</v>
      </c>
      <c r="Q512" s="76">
        <f t="shared" si="162"/>
        <v>0</v>
      </c>
      <c r="R512" s="76">
        <f t="shared" si="162"/>
        <v>0</v>
      </c>
      <c r="S512" s="76">
        <f t="shared" si="162"/>
        <v>0</v>
      </c>
      <c r="T512" s="76">
        <f t="shared" si="162"/>
        <v>0</v>
      </c>
      <c r="U512" s="76">
        <f t="shared" si="162"/>
        <v>0</v>
      </c>
      <c r="V512" s="76">
        <f t="shared" si="162"/>
        <v>0</v>
      </c>
      <c r="W512" s="76">
        <f t="shared" si="162"/>
        <v>0</v>
      </c>
      <c r="X512" s="76">
        <f t="shared" si="162"/>
        <v>0</v>
      </c>
      <c r="Y512" s="76">
        <f t="shared" si="162"/>
        <v>0</v>
      </c>
      <c r="Z512" s="77">
        <f t="shared" si="162"/>
        <v>172.16488260729614</v>
      </c>
    </row>
    <row r="513" spans="1:26" x14ac:dyDescent="0.25">
      <c r="A513" s="27"/>
      <c r="B513" s="9" t="s">
        <v>62</v>
      </c>
      <c r="C513" s="2"/>
      <c r="D513" s="2"/>
      <c r="E513" s="2"/>
      <c r="F513" s="76">
        <f t="shared" ref="F513:Z513" si="163">F505-F497</f>
        <v>0</v>
      </c>
      <c r="G513" s="76">
        <f t="shared" si="163"/>
        <v>236.96649900000011</v>
      </c>
      <c r="H513" s="76">
        <f t="shared" si="163"/>
        <v>-1219.0785423739999</v>
      </c>
      <c r="I513" s="76">
        <f t="shared" si="163"/>
        <v>-1104.0198976113995</v>
      </c>
      <c r="J513" s="76">
        <f t="shared" si="163"/>
        <v>-1148.3815215349398</v>
      </c>
      <c r="K513" s="76">
        <f t="shared" si="163"/>
        <v>-1274.0077371421396</v>
      </c>
      <c r="L513" s="76">
        <f t="shared" si="163"/>
        <v>-1358.1408902125395</v>
      </c>
      <c r="M513" s="76">
        <f t="shared" si="163"/>
        <v>-1289.5046514925393</v>
      </c>
      <c r="N513" s="76">
        <f t="shared" si="163"/>
        <v>-1289.5046514925393</v>
      </c>
      <c r="O513" s="76">
        <f t="shared" si="163"/>
        <v>-1396.3648405321994</v>
      </c>
      <c r="P513" s="76">
        <f t="shared" si="163"/>
        <v>-977.45538837253957</v>
      </c>
      <c r="Q513" s="76">
        <f t="shared" si="163"/>
        <v>-977.45538837253957</v>
      </c>
      <c r="R513" s="76">
        <f t="shared" si="163"/>
        <v>-977.45538837253957</v>
      </c>
      <c r="S513" s="76">
        <f t="shared" si="163"/>
        <v>-1148.3815215349398</v>
      </c>
      <c r="T513" s="76">
        <f t="shared" si="163"/>
        <v>-1274.0077371421396</v>
      </c>
      <c r="U513" s="76">
        <f t="shared" si="163"/>
        <v>-1358.1408902125395</v>
      </c>
      <c r="V513" s="76">
        <f t="shared" si="163"/>
        <v>-1289.5046514925393</v>
      </c>
      <c r="W513" s="76">
        <f t="shared" si="163"/>
        <v>-1289.5046514925393</v>
      </c>
      <c r="X513" s="76">
        <f t="shared" si="163"/>
        <v>-1396.3648405321994</v>
      </c>
      <c r="Y513" s="76">
        <f t="shared" si="163"/>
        <v>-1396.3648405321994</v>
      </c>
      <c r="Z513" s="77">
        <f t="shared" si="163"/>
        <v>-977.45538837253957</v>
      </c>
    </row>
    <row r="514" spans="1:26" x14ac:dyDescent="0.25">
      <c r="A514" s="27"/>
      <c r="B514" s="9" t="s">
        <v>63</v>
      </c>
      <c r="C514" s="2"/>
      <c r="D514" s="2"/>
      <c r="E514" s="2"/>
      <c r="F514" s="76">
        <f t="shared" ref="F514:Z514" si="164">F506-F498</f>
        <v>0</v>
      </c>
      <c r="G514" s="76">
        <f t="shared" si="164"/>
        <v>502.6562100000001</v>
      </c>
      <c r="H514" s="76">
        <f t="shared" si="164"/>
        <v>5226.1884234000008</v>
      </c>
      <c r="I514" s="76">
        <f t="shared" si="164"/>
        <v>6251.4634757400036</v>
      </c>
      <c r="J514" s="76">
        <f t="shared" si="164"/>
        <v>8131.643576154007</v>
      </c>
      <c r="K514" s="76">
        <f t="shared" si="164"/>
        <v>9287.6837506740048</v>
      </c>
      <c r="L514" s="76">
        <f t="shared" si="164"/>
        <v>10882.418077314003</v>
      </c>
      <c r="M514" s="76">
        <f t="shared" si="164"/>
        <v>11494.028125314006</v>
      </c>
      <c r="N514" s="76">
        <f t="shared" si="164"/>
        <v>11494.028125314006</v>
      </c>
      <c r="O514" s="76">
        <f t="shared" si="164"/>
        <v>10541.808619020008</v>
      </c>
      <c r="P514" s="76">
        <f t="shared" si="164"/>
        <v>7379.2660333140066</v>
      </c>
      <c r="Q514" s="76">
        <f t="shared" si="164"/>
        <v>7379.2660333140066</v>
      </c>
      <c r="R514" s="76">
        <f t="shared" si="164"/>
        <v>7379.2660333140066</v>
      </c>
      <c r="S514" s="76">
        <f t="shared" si="164"/>
        <v>8131.643576154007</v>
      </c>
      <c r="T514" s="76">
        <f t="shared" si="164"/>
        <v>9287.6837506740048</v>
      </c>
      <c r="U514" s="76">
        <f t="shared" si="164"/>
        <v>10882.418077314003</v>
      </c>
      <c r="V514" s="76">
        <f t="shared" si="164"/>
        <v>11494.028125314006</v>
      </c>
      <c r="W514" s="76">
        <f t="shared" si="164"/>
        <v>11494.028125314006</v>
      </c>
      <c r="X514" s="76">
        <f t="shared" si="164"/>
        <v>10541.808619020008</v>
      </c>
      <c r="Y514" s="76">
        <f t="shared" si="164"/>
        <v>10541.808619020008</v>
      </c>
      <c r="Z514" s="77">
        <f t="shared" si="164"/>
        <v>7379.2660333140066</v>
      </c>
    </row>
    <row r="515" spans="1:26" x14ac:dyDescent="0.25">
      <c r="A515" s="27"/>
      <c r="B515" s="56" t="s">
        <v>15</v>
      </c>
      <c r="C515" s="39"/>
      <c r="D515" s="39"/>
      <c r="E515" s="39"/>
      <c r="F515" s="109">
        <f t="shared" ref="F515:Z515" si="165">F507-F499</f>
        <v>0</v>
      </c>
      <c r="G515" s="109">
        <f t="shared" si="165"/>
        <v>-2973.4940512896983</v>
      </c>
      <c r="H515" s="109">
        <f t="shared" si="165"/>
        <v>447.5161884294339</v>
      </c>
      <c r="I515" s="109">
        <f t="shared" si="165"/>
        <v>1569.021652468733</v>
      </c>
      <c r="J515" s="109">
        <f t="shared" si="165"/>
        <v>3385.8236135652569</v>
      </c>
      <c r="K515" s="109">
        <f t="shared" si="165"/>
        <v>4397.0308919301806</v>
      </c>
      <c r="L515" s="109">
        <f t="shared" si="165"/>
        <v>5888.2333181464201</v>
      </c>
      <c r="M515" s="109">
        <f t="shared" si="165"/>
        <v>6548.8868700395342</v>
      </c>
      <c r="N515" s="109">
        <f t="shared" si="165"/>
        <v>6529.0982078643765</v>
      </c>
      <c r="O515" s="109">
        <f t="shared" si="165"/>
        <v>5450.0319637338089</v>
      </c>
      <c r="P515" s="109">
        <f t="shared" si="165"/>
        <v>2514.0475332952938</v>
      </c>
      <c r="Q515" s="109">
        <f t="shared" si="165"/>
        <v>2665.8241374748613</v>
      </c>
      <c r="R515" s="109">
        <f t="shared" si="165"/>
        <v>2645.2319762628558</v>
      </c>
      <c r="S515" s="109">
        <f t="shared" si="165"/>
        <v>3205.885303116328</v>
      </c>
      <c r="T515" s="109">
        <f t="shared" si="165"/>
        <v>4215.2931983767639</v>
      </c>
      <c r="U515" s="109">
        <f t="shared" si="165"/>
        <v>5704.6782476574699</v>
      </c>
      <c r="V515" s="109">
        <f t="shared" si="165"/>
        <v>6363.4962488456931</v>
      </c>
      <c r="W515" s="109">
        <f t="shared" si="165"/>
        <v>6341.8536804585956</v>
      </c>
      <c r="X515" s="109">
        <f t="shared" si="165"/>
        <v>5260.9149910539718</v>
      </c>
      <c r="Y515" s="109">
        <f t="shared" si="165"/>
        <v>5238.8374070422933</v>
      </c>
      <c r="Z515" s="110">
        <f t="shared" si="165"/>
        <v>2300.7410310368641</v>
      </c>
    </row>
    <row r="516" spans="1:26" x14ac:dyDescent="0.25">
      <c r="A516" s="27"/>
      <c r="B516" s="9"/>
      <c r="C516" s="2"/>
      <c r="D516" s="2"/>
      <c r="E516" s="2"/>
      <c r="F516" s="76"/>
      <c r="G516" s="76"/>
      <c r="H516" s="76"/>
      <c r="I516" s="76"/>
      <c r="J516" s="76"/>
      <c r="K516" s="76"/>
      <c r="L516" s="76"/>
      <c r="M516" s="76"/>
      <c r="N516" s="76"/>
      <c r="O516" s="76"/>
      <c r="P516" s="76"/>
      <c r="Q516" s="76"/>
      <c r="R516" s="76"/>
      <c r="S516" s="76"/>
      <c r="T516" s="76"/>
      <c r="U516" s="76"/>
      <c r="V516" s="76"/>
      <c r="W516" s="76"/>
      <c r="X516" s="76"/>
      <c r="Y516" s="76"/>
      <c r="Z516" s="77"/>
    </row>
    <row r="517" spans="1:26" x14ac:dyDescent="0.25">
      <c r="A517" s="27"/>
      <c r="B517" s="111" t="s">
        <v>66</v>
      </c>
      <c r="C517" s="272">
        <f>NPV($D$168,H515:AA515)+G515</f>
        <v>25088.108326801746</v>
      </c>
      <c r="D517" s="4"/>
      <c r="E517" s="2"/>
      <c r="F517" s="76"/>
      <c r="G517" s="76"/>
      <c r="H517" s="76"/>
      <c r="I517" s="76"/>
      <c r="J517" s="76"/>
      <c r="K517" s="76"/>
      <c r="L517" s="76"/>
      <c r="M517" s="76"/>
      <c r="N517" s="76"/>
      <c r="O517" s="76"/>
      <c r="P517" s="76"/>
      <c r="Q517" s="76"/>
      <c r="R517" s="76"/>
      <c r="S517" s="76"/>
      <c r="T517" s="76"/>
      <c r="U517" s="76"/>
      <c r="V517" s="76"/>
      <c r="W517" s="237"/>
      <c r="X517" s="76"/>
      <c r="Y517" s="76"/>
      <c r="Z517" s="77"/>
    </row>
    <row r="518" spans="1:26" ht="15.75" thickBot="1" x14ac:dyDescent="0.3">
      <c r="A518" s="27"/>
      <c r="B518" s="16"/>
      <c r="C518" s="12"/>
      <c r="D518" s="12"/>
      <c r="E518" s="12"/>
      <c r="F518" s="80"/>
      <c r="G518" s="80"/>
      <c r="H518" s="80"/>
      <c r="I518" s="80"/>
      <c r="J518" s="80"/>
      <c r="K518" s="80"/>
      <c r="L518" s="80"/>
      <c r="M518" s="80"/>
      <c r="N518" s="80"/>
      <c r="O518" s="80"/>
      <c r="P518" s="80"/>
      <c r="Q518" s="81"/>
      <c r="R518" s="81"/>
      <c r="S518" s="81"/>
      <c r="T518" s="81"/>
      <c r="U518" s="81"/>
      <c r="V518" s="81"/>
      <c r="W518" s="81"/>
      <c r="X518" s="81"/>
      <c r="Y518" s="81"/>
      <c r="Z518" s="82"/>
    </row>
    <row r="519" spans="1:26" ht="15.75" thickBot="1" x14ac:dyDescent="0.3">
      <c r="A519" s="2"/>
      <c r="B519" s="2"/>
      <c r="C519" s="2"/>
      <c r="D519" s="2"/>
      <c r="E519" s="2"/>
      <c r="F519" s="76"/>
      <c r="G519" s="76"/>
      <c r="H519" s="76"/>
      <c r="I519" s="76"/>
      <c r="J519" s="76"/>
      <c r="K519" s="76"/>
      <c r="L519" s="76"/>
      <c r="M519" s="76"/>
      <c r="N519" s="76"/>
      <c r="O519" s="76"/>
      <c r="P519" s="76"/>
      <c r="Q519" s="78"/>
      <c r="R519" s="78"/>
      <c r="S519" s="78"/>
      <c r="T519" s="78"/>
      <c r="U519" s="78"/>
      <c r="V519" s="78"/>
      <c r="W519" s="78"/>
      <c r="X519" s="78"/>
      <c r="Y519" s="78"/>
      <c r="Z519" s="78"/>
    </row>
    <row r="520" spans="1:26" x14ac:dyDescent="0.25">
      <c r="A520" s="1"/>
      <c r="B520" s="48" t="s">
        <v>276</v>
      </c>
      <c r="C520" s="49"/>
      <c r="D520" s="49"/>
      <c r="E520" s="49"/>
      <c r="F520" s="49"/>
      <c r="G520" s="50"/>
      <c r="H520" s="50"/>
      <c r="I520" s="50"/>
      <c r="J520" s="50"/>
      <c r="K520" s="50"/>
      <c r="L520" s="50"/>
      <c r="M520" s="50"/>
      <c r="N520" s="50"/>
      <c r="O520" s="50"/>
      <c r="P520" s="50"/>
      <c r="Q520" s="50"/>
      <c r="R520" s="50"/>
      <c r="S520" s="50"/>
      <c r="T520" s="50"/>
      <c r="U520" s="50"/>
      <c r="V520" s="50"/>
      <c r="W520" s="50"/>
      <c r="X520" s="50"/>
      <c r="Y520" s="50"/>
      <c r="Z520" s="51"/>
    </row>
    <row r="521" spans="1:26" x14ac:dyDescent="0.25">
      <c r="B521" s="154"/>
      <c r="C521" s="155"/>
      <c r="D521" s="155"/>
      <c r="E521" s="215" t="s">
        <v>8</v>
      </c>
      <c r="F521" s="156">
        <v>0</v>
      </c>
      <c r="G521" s="144">
        <v>1</v>
      </c>
      <c r="H521" s="144">
        <v>2</v>
      </c>
      <c r="I521" s="144">
        <v>3</v>
      </c>
      <c r="J521" s="144">
        <v>4</v>
      </c>
      <c r="K521" s="144">
        <v>5</v>
      </c>
      <c r="L521" s="144">
        <v>6</v>
      </c>
      <c r="M521" s="144">
        <v>7</v>
      </c>
      <c r="N521" s="144">
        <v>8</v>
      </c>
      <c r="O521" s="144">
        <v>9</v>
      </c>
      <c r="P521" s="144">
        <v>10</v>
      </c>
      <c r="Q521" s="144">
        <v>11</v>
      </c>
      <c r="R521" s="144">
        <v>12</v>
      </c>
      <c r="S521" s="144">
        <v>13</v>
      </c>
      <c r="T521" s="144">
        <v>14</v>
      </c>
      <c r="U521" s="144">
        <v>15</v>
      </c>
      <c r="V521" s="144">
        <v>16</v>
      </c>
      <c r="W521" s="144">
        <v>17</v>
      </c>
      <c r="X521" s="144">
        <v>18</v>
      </c>
      <c r="Y521" s="144">
        <v>19</v>
      </c>
      <c r="Z521" s="145">
        <v>20</v>
      </c>
    </row>
    <row r="522" spans="1:26" x14ac:dyDescent="0.25">
      <c r="B522" s="10"/>
      <c r="C522" s="14"/>
      <c r="D522" s="2"/>
      <c r="E522" s="2"/>
      <c r="F522" s="2"/>
      <c r="G522" s="2"/>
      <c r="H522" s="2"/>
      <c r="I522" s="2"/>
      <c r="J522" s="2"/>
      <c r="K522" s="2"/>
      <c r="L522" s="2"/>
      <c r="M522" s="2"/>
      <c r="N522" s="2"/>
      <c r="O522" s="2"/>
      <c r="P522" s="2"/>
      <c r="Q522" s="2"/>
      <c r="R522" s="2"/>
      <c r="S522" s="2"/>
      <c r="T522" s="2"/>
      <c r="U522" s="2"/>
      <c r="V522" s="2"/>
      <c r="W522" s="2"/>
      <c r="X522" s="2"/>
      <c r="Y522" s="2"/>
      <c r="Z522" s="15"/>
    </row>
    <row r="523" spans="1:26" x14ac:dyDescent="0.25">
      <c r="B523" s="10" t="s">
        <v>202</v>
      </c>
      <c r="C523" s="14"/>
      <c r="D523" s="2"/>
      <c r="E523" s="2"/>
      <c r="F523" s="267">
        <f>F428*$H$9*(1-$H$11)*$H$8*$H$41</f>
        <v>0</v>
      </c>
      <c r="G523" s="267">
        <f>$H$35*G428*$H$9*(1-$H$11)*$H$8*$H$41</f>
        <v>-339147.99648550648</v>
      </c>
      <c r="H523" s="267">
        <f>$H$9*(1-$H$11)*$H$8*$H$41*($H$35*H428+($H$36-$H$35)*G428)</f>
        <v>-247767.6100216487</v>
      </c>
      <c r="I523" s="267">
        <f>$H$9*(1-$H$11)*$H$8*$H$41*($H$35*I428+($H$36-$H$35)*H428+($H$37-$H$36)*G428)</f>
        <v>245506.92837613367</v>
      </c>
      <c r="J523" s="267">
        <f>$H$9*(1-$H$11)*$H$8*$H$41*($H$35*J428+($H$36-$H$35)*I428+($H$37-$H$36)*H428+($H$38-$H$37)*G428)</f>
        <v>1234178.9368760525</v>
      </c>
      <c r="K523" s="267">
        <f t="shared" ref="K523:Z523" si="166">$H$9*(1-$H$11)*$H$8*$H$41*($H$35*K428+($H$36-$H$35)*J428+($H$37-$H$36)*I428+($H$38-$H$37)*H428+($H$39-$H$38)*G428)</f>
        <v>1674461.7031609253</v>
      </c>
      <c r="L523" s="267">
        <f t="shared" si="166"/>
        <v>2181039.7115305522</v>
      </c>
      <c r="M523" s="267">
        <f t="shared" si="166"/>
        <v>2280788.3835880887</v>
      </c>
      <c r="N523" s="267">
        <f t="shared" si="166"/>
        <v>2329101.7781774513</v>
      </c>
      <c r="O523" s="267">
        <f t="shared" si="166"/>
        <v>2324232.241525732</v>
      </c>
      <c r="P523" s="267">
        <f t="shared" si="166"/>
        <v>2319314.009507495</v>
      </c>
      <c r="Q523" s="267">
        <f t="shared" si="166"/>
        <v>2314346.5951690762</v>
      </c>
      <c r="R523" s="267">
        <f t="shared" si="166"/>
        <v>2309329.5066872737</v>
      </c>
      <c r="S523" s="267">
        <f t="shared" si="166"/>
        <v>2304262.247320652</v>
      </c>
      <c r="T523" s="267">
        <f t="shared" si="166"/>
        <v>2299144.315360364</v>
      </c>
      <c r="U523" s="267">
        <f t="shared" si="166"/>
        <v>2293975.2040804736</v>
      </c>
      <c r="V523" s="267">
        <f t="shared" si="166"/>
        <v>2288754.4016877846</v>
      </c>
      <c r="W523" s="267">
        <f t="shared" si="166"/>
        <v>2283481.3912711688</v>
      </c>
      <c r="X523" s="267">
        <f t="shared" si="166"/>
        <v>2278155.650750387</v>
      </c>
      <c r="Y523" s="267">
        <f t="shared" si="166"/>
        <v>2272776.6528243963</v>
      </c>
      <c r="Z523" s="268">
        <f t="shared" si="166"/>
        <v>2267343.8649191465</v>
      </c>
    </row>
    <row r="524" spans="1:26" x14ac:dyDescent="0.25">
      <c r="B524" s="10" t="s">
        <v>265</v>
      </c>
      <c r="C524" s="14"/>
      <c r="D524" s="2"/>
      <c r="E524" s="2"/>
      <c r="F524" s="267">
        <f>F458*$H$9*$H$11*$H$8*$H$41</f>
        <v>0</v>
      </c>
      <c r="G524" s="267">
        <f>$H$9*$H$11*$H$8*$H$41*($H$35*G458)</f>
        <v>-133064.1451112463</v>
      </c>
      <c r="H524" s="267">
        <f>$H$9*$H$11*$H$8*$H$41*($H$35*H458+($H$36-$H$35)*G458)</f>
        <v>-180677.22134262309</v>
      </c>
      <c r="I524" s="267">
        <f>$H$9*$H$11*$H$8*$H$41*($H$35*I458+($H$36-$H$35)*H458+($H$37-$H$36)*G458)</f>
        <v>-128628.58139551556</v>
      </c>
      <c r="J524" s="267">
        <f>$H$9*$H$11*$H$8*$H$41*($H$35*J458+($H$36-$H$35)*I458+($H$37-$H$36)*H458+($H$38-$H$37)*G458)</f>
        <v>122161.84643869521</v>
      </c>
      <c r="K524" s="267">
        <f t="shared" ref="K524:Z524" si="167">$H$9*$H$11*$H$8*$H$41*($H$35*K458+($H$36-$H$35)*J458+($H$37-$H$36)*I458+($H$38-$H$37)*H458+($H$39-$H$38)*G458)</f>
        <v>276933.64802553499</v>
      </c>
      <c r="L524" s="267">
        <f t="shared" si="167"/>
        <v>519018.7549353161</v>
      </c>
      <c r="M524" s="267">
        <f t="shared" si="167"/>
        <v>645911.27941039274</v>
      </c>
      <c r="N524" s="267">
        <f t="shared" si="167"/>
        <v>731437.28289104975</v>
      </c>
      <c r="O524" s="267">
        <f t="shared" si="167"/>
        <v>759619.13792393613</v>
      </c>
      <c r="P524" s="267">
        <f t="shared" si="167"/>
        <v>672082.87755543191</v>
      </c>
      <c r="Q524" s="267">
        <f t="shared" si="167"/>
        <v>530945.92613786994</v>
      </c>
      <c r="R524" s="267">
        <f t="shared" si="167"/>
        <v>395818.18756376853</v>
      </c>
      <c r="S524" s="267">
        <f t="shared" si="167"/>
        <v>391055.70030609757</v>
      </c>
      <c r="T524" s="267">
        <f t="shared" si="167"/>
        <v>418265.05439781566</v>
      </c>
      <c r="U524" s="267">
        <f t="shared" si="167"/>
        <v>540898.22135796677</v>
      </c>
      <c r="V524" s="267">
        <f t="shared" si="167"/>
        <v>643253.14697626745</v>
      </c>
      <c r="W524" s="267">
        <f t="shared" si="167"/>
        <v>716230.48725562228</v>
      </c>
      <c r="X524" s="267">
        <f t="shared" si="167"/>
        <v>744260.27433215431</v>
      </c>
      <c r="Y524" s="267">
        <f t="shared" si="167"/>
        <v>757592.21760813217</v>
      </c>
      <c r="Z524" s="268">
        <f t="shared" si="167"/>
        <v>654759.49602598231</v>
      </c>
    </row>
    <row r="525" spans="1:26" hidden="1" x14ac:dyDescent="0.25">
      <c r="B525" s="10"/>
      <c r="C525" s="14"/>
      <c r="D525" s="2"/>
      <c r="E525" s="2"/>
      <c r="F525" s="267"/>
      <c r="G525" s="267">
        <f>SUM(G523:G524)</f>
        <v>-472212.1415967528</v>
      </c>
      <c r="H525" s="267">
        <f t="shared" ref="H525:Z525" si="168">SUM(H523:H524)</f>
        <v>-428444.83136427181</v>
      </c>
      <c r="I525" s="267">
        <f t="shared" si="168"/>
        <v>116878.34698061811</v>
      </c>
      <c r="J525" s="267">
        <f t="shared" si="168"/>
        <v>1356340.7833147477</v>
      </c>
      <c r="K525" s="267">
        <f t="shared" si="168"/>
        <v>1951395.3511864603</v>
      </c>
      <c r="L525" s="267">
        <f t="shared" si="168"/>
        <v>2700058.4664658685</v>
      </c>
      <c r="M525" s="267">
        <f t="shared" si="168"/>
        <v>2926699.6629984817</v>
      </c>
      <c r="N525" s="267">
        <f t="shared" si="168"/>
        <v>3060539.0610685013</v>
      </c>
      <c r="O525" s="267">
        <f t="shared" si="168"/>
        <v>3083851.3794496683</v>
      </c>
      <c r="P525" s="267">
        <f t="shared" si="168"/>
        <v>2991396.8870629268</v>
      </c>
      <c r="Q525" s="267">
        <f t="shared" si="168"/>
        <v>2845292.5213069459</v>
      </c>
      <c r="R525" s="267">
        <f t="shared" si="168"/>
        <v>2705147.6942510423</v>
      </c>
      <c r="S525" s="267">
        <f t="shared" si="168"/>
        <v>2695317.9476267495</v>
      </c>
      <c r="T525" s="267">
        <f t="shared" si="168"/>
        <v>2717409.3697581799</v>
      </c>
      <c r="U525" s="267">
        <f t="shared" si="168"/>
        <v>2834873.4254384404</v>
      </c>
      <c r="V525" s="267">
        <f t="shared" si="168"/>
        <v>2932007.548664052</v>
      </c>
      <c r="W525" s="267">
        <f t="shared" si="168"/>
        <v>2999711.878526791</v>
      </c>
      <c r="X525" s="267">
        <f t="shared" si="168"/>
        <v>3022415.9250825411</v>
      </c>
      <c r="Y525" s="267">
        <f t="shared" si="168"/>
        <v>3030368.8704325287</v>
      </c>
      <c r="Z525" s="267">
        <f t="shared" si="168"/>
        <v>2922103.3609451288</v>
      </c>
    </row>
    <row r="526" spans="1:26" x14ac:dyDescent="0.25">
      <c r="B526" s="10" t="s">
        <v>203</v>
      </c>
      <c r="C526" s="14"/>
      <c r="D526" s="2"/>
      <c r="E526" s="2"/>
      <c r="F526" s="267">
        <f>F485*$H$10*(1-$H$11)*$H$8*$H$41</f>
        <v>0</v>
      </c>
      <c r="G526" s="267">
        <f>$H$10*(1-$H$11)*$H$8*$H$41*($H$35*G485)</f>
        <v>-1565139.2448399144</v>
      </c>
      <c r="H526" s="267">
        <f>$H$10*(1-$H$11)*$H$8*$H$41*($H$35*H485+($H$36-$H$35)*G485)</f>
        <v>-983854.0006723071</v>
      </c>
      <c r="I526" s="267">
        <f>$H$10*(1-$H$11)*$H$8*$H$41*($H$35*I485+($H$36-$H$35)*H485+($H$37-$H$36)*G485)</f>
        <v>2076366.8397714992</v>
      </c>
      <c r="J526" s="267">
        <f>$H$10*(1-$H$11)*$H$8*$H$41*($H$35*J485+($H$36-$H$35)*I485+($H$37-$H$36)*H485+($H$38-$H$37)*G485)</f>
        <v>8325896.1507698465</v>
      </c>
      <c r="K526" s="267">
        <f t="shared" ref="K526:Z526" si="169">$H$10*(1-$H$11)*$H$8*$H$41*($H$35*K485+($H$36-$H$35)*J485+($H$37-$H$36)*I485+($H$38-$H$37)*H485+($H$39-$H$38)*G485)</f>
        <v>12192806.119312245</v>
      </c>
      <c r="L526" s="267">
        <f t="shared" si="169"/>
        <v>15809575.854506949</v>
      </c>
      <c r="M526" s="267">
        <f t="shared" si="169"/>
        <v>16826444.55019727</v>
      </c>
      <c r="N526" s="267">
        <f t="shared" si="169"/>
        <v>17329555.615710702</v>
      </c>
      <c r="O526" s="267">
        <f t="shared" si="169"/>
        <v>17267587.960012831</v>
      </c>
      <c r="P526" s="267">
        <f t="shared" si="169"/>
        <v>17205000.627757974</v>
      </c>
      <c r="Q526" s="267">
        <f t="shared" si="169"/>
        <v>17141787.422180571</v>
      </c>
      <c r="R526" s="267">
        <f t="shared" si="169"/>
        <v>17077942.084547393</v>
      </c>
      <c r="S526" s="267">
        <f t="shared" si="169"/>
        <v>17013458.293537881</v>
      </c>
      <c r="T526" s="267">
        <f t="shared" si="169"/>
        <v>16948329.664618276</v>
      </c>
      <c r="U526" s="267">
        <f t="shared" si="169"/>
        <v>16882549.749409474</v>
      </c>
      <c r="V526" s="267">
        <f t="shared" si="169"/>
        <v>16816112.035048585</v>
      </c>
      <c r="W526" s="267">
        <f t="shared" si="169"/>
        <v>16749009.94354409</v>
      </c>
      <c r="X526" s="267">
        <f t="shared" si="169"/>
        <v>16681236.831124548</v>
      </c>
      <c r="Y526" s="267">
        <f t="shared" si="169"/>
        <v>16612785.987580806</v>
      </c>
      <c r="Z526" s="268">
        <f t="shared" si="169"/>
        <v>16543650.635601632</v>
      </c>
    </row>
    <row r="527" spans="1:26" x14ac:dyDescent="0.25">
      <c r="B527" s="10" t="s">
        <v>266</v>
      </c>
      <c r="C527" s="14"/>
      <c r="D527" s="2"/>
      <c r="E527" s="2"/>
      <c r="F527" s="267">
        <f>F515*$H$10*$H$11*$H$8*$H$41</f>
        <v>0</v>
      </c>
      <c r="G527" s="267">
        <f>$H$10*$H$11*$H$8*$H$41*($H$35*G515)</f>
        <v>-624433.75077083672</v>
      </c>
      <c r="H527" s="267">
        <f>$H$10*$H$11*$H$8*$H$41*($H$35*H515+($H$36-$H$35)*G515)</f>
        <v>-842672.22658607375</v>
      </c>
      <c r="I527" s="267">
        <f>$H$10*$H$11*$H$8*$H$41*($H$35*I515+($H$36-$H$35)*H515+($H$37-$H$36)*G515)</f>
        <v>-466188.47978254949</v>
      </c>
      <c r="J527" s="267">
        <f>$H$10*$H$11*$H$8*$H$41*($H$35*J515+($H$36-$H$35)*I515+($H$37-$H$36)*H515+($H$38-$H$37)*G515)</f>
        <v>1034015.5033462084</v>
      </c>
      <c r="K527" s="267">
        <f>$H$10*$H$11*$H$8*$H$41*($H$35*K515+($H$36-$H$35)*J515+($H$37-$H$36)*I515+($H$38-$H$37)*H515+($H$39-$H$38)*G515)</f>
        <v>2218925.0705057173</v>
      </c>
      <c r="L527" s="267">
        <f t="shared" ref="L527" si="170">$H$10*$H$11*$H$8*$H$41*($H$35*L515+($H$36-$H$35)*K515+($H$37-$H$36)*J515+($H$38-$H$37)*I515+($H$39-$H$38)*H515)</f>
        <v>3899864.6393361194</v>
      </c>
      <c r="M527" s="267">
        <f t="shared" ref="M527" si="171">$H$10*$H$11*$H$8*$H$41*($H$35*M515+($H$36-$H$35)*L515+($H$37-$H$36)*K515+($H$38-$H$37)*J515+($H$39-$H$38)*I515)</f>
        <v>5135383.2218160005</v>
      </c>
      <c r="N527" s="267">
        <f t="shared" ref="N527" si="172">$H$10*$H$11*$H$8*$H$41*($H$35*N515+($H$36-$H$35)*M515+($H$37-$H$36)*L515+($H$38-$H$37)*K515+($H$39-$H$38)*J515)</f>
        <v>6106003.2060071155</v>
      </c>
      <c r="O527" s="267">
        <f t="shared" ref="O527" si="173">$H$10*$H$11*$H$8*$H$41*($H$35*O515+($H$36-$H$35)*N515+($H$37-$H$36)*M515+($H$38-$H$37)*L515+($H$39-$H$38)*K515)</f>
        <v>6344024.7539818753</v>
      </c>
      <c r="P527" s="267">
        <f t="shared" ref="P527" si="174">$H$10*$H$11*$H$8*$H$41*($H$35*P515+($H$36-$H$35)*O515+($H$37-$H$36)*N515+($H$38-$H$37)*M515+($H$39-$H$38)*L515)</f>
        <v>5607273.6058049658</v>
      </c>
      <c r="Q527" s="267">
        <f t="shared" ref="Q527" si="175">$H$10*$H$11*$H$8*$H$41*($H$35*Q515+($H$36-$H$35)*P515+($H$37-$H$36)*O515+($H$38-$H$37)*N515+($H$39-$H$38)*M515)</f>
        <v>4441696.543613798</v>
      </c>
      <c r="R527" s="267">
        <f t="shared" ref="R527" si="176">$H$10*$H$11*$H$8*$H$41*($H$35*R515+($H$36-$H$35)*Q515+($H$37-$H$36)*P515+($H$38-$H$37)*O515+($H$39-$H$38)*N515)</f>
        <v>3444966.9593256083</v>
      </c>
      <c r="S527" s="267">
        <f t="shared" ref="S527" si="177">$H$10*$H$11*$H$8*$H$41*($H$35*S515+($H$36-$H$35)*R515+($H$37-$H$36)*Q515+($H$38-$H$37)*P515+($H$39-$H$38)*O515)</f>
        <v>3182446.9366698656</v>
      </c>
      <c r="T527" s="267">
        <f t="shared" ref="T527" si="178">$H$10*$H$11*$H$8*$H$41*($H$35*T515+($H$36-$H$35)*S515+($H$37-$H$36)*R515+($H$38-$H$37)*Q515+($H$39-$H$38)*P515)</f>
        <v>3272200.0400944296</v>
      </c>
      <c r="U527" s="267">
        <f t="shared" ref="U527" si="179">$H$10*$H$11*$H$8*$H$41*($H$35*U515+($H$36-$H$35)*T515+($H$37-$H$36)*S515+($H$38-$H$37)*R515+($H$39-$H$38)*Q515)</f>
        <v>4093314.5519208536</v>
      </c>
      <c r="V527" s="267">
        <f t="shared" ref="V527" si="180">$H$10*$H$11*$H$8*$H$41*($H$35*V515+($H$36-$H$35)*U515+($H$37-$H$36)*T515+($H$38-$H$37)*S515+($H$39-$H$38)*R515)</f>
        <v>5075492.5320931943</v>
      </c>
      <c r="W527" s="267">
        <f t="shared" ref="W527" si="181">$H$10*$H$11*$H$8*$H$41*($H$35*W515+($H$36-$H$35)*V515+($H$37-$H$36)*U515+($H$38-$H$37)*T515+($H$39-$H$38)*S515)</f>
        <v>5912487.9819515767</v>
      </c>
      <c r="X527" s="267">
        <f t="shared" ref="X527" si="182">$H$10*$H$11*$H$8*$H$41*($H$35*X515+($H$36-$H$35)*W515+($H$37-$H$36)*V515+($H$38-$H$37)*U515+($H$39-$H$38)*T515)</f>
        <v>6148574.3776857806</v>
      </c>
      <c r="Y527" s="267">
        <f t="shared" ref="Y527" si="183">$H$10*$H$11*$H$8*$H$41*($H$35*Y515+($H$36-$H$35)*X515+($H$37-$H$36)*W515+($H$38-$H$37)*V515+($H$39-$H$38)*U515)</f>
        <v>6022186.3091381723</v>
      </c>
      <c r="Z527" s="268">
        <f t="shared" ref="Z527" si="184">$H$10*$H$11*$H$8*$H$41*($H$35*Z515+($H$36-$H$35)*Y515+($H$37-$H$36)*X515+($H$38-$H$37)*W515+($H$39-$H$38)*V515)</f>
        <v>5124639.3644950157</v>
      </c>
    </row>
    <row r="528" spans="1:26" hidden="1" x14ac:dyDescent="0.25">
      <c r="B528" s="10"/>
      <c r="C528" s="14"/>
      <c r="D528" s="2"/>
      <c r="E528" s="2"/>
      <c r="F528" s="267"/>
      <c r="G528" s="267">
        <f>SUM(G526:G527)</f>
        <v>-2189572.9956107512</v>
      </c>
      <c r="H528" s="267">
        <f t="shared" ref="H528:Z528" si="185">SUM(H526:H527)</f>
        <v>-1826526.227258381</v>
      </c>
      <c r="I528" s="267">
        <f t="shared" si="185"/>
        <v>1610178.3599889497</v>
      </c>
      <c r="J528" s="267">
        <f t="shared" si="185"/>
        <v>9359911.654116055</v>
      </c>
      <c r="K528" s="267">
        <f t="shared" si="185"/>
        <v>14411731.189817963</v>
      </c>
      <c r="L528" s="267">
        <f t="shared" si="185"/>
        <v>19709440.493843067</v>
      </c>
      <c r="M528" s="267">
        <f t="shared" si="185"/>
        <v>21961827.772013269</v>
      </c>
      <c r="N528" s="267">
        <f t="shared" si="185"/>
        <v>23435558.821717817</v>
      </c>
      <c r="O528" s="267">
        <f t="shared" si="185"/>
        <v>23611612.713994704</v>
      </c>
      <c r="P528" s="267">
        <f t="shared" si="185"/>
        <v>22812274.233562939</v>
      </c>
      <c r="Q528" s="267">
        <f t="shared" si="185"/>
        <v>21583483.96579437</v>
      </c>
      <c r="R528" s="267">
        <f t="shared" si="185"/>
        <v>20522909.043873001</v>
      </c>
      <c r="S528" s="267">
        <f t="shared" si="185"/>
        <v>20195905.230207749</v>
      </c>
      <c r="T528" s="267">
        <f t="shared" si="185"/>
        <v>20220529.704712704</v>
      </c>
      <c r="U528" s="267">
        <f t="shared" si="185"/>
        <v>20975864.301330328</v>
      </c>
      <c r="V528" s="267">
        <f t="shared" si="185"/>
        <v>21891604.567141779</v>
      </c>
      <c r="W528" s="267">
        <f t="shared" si="185"/>
        <v>22661497.925495666</v>
      </c>
      <c r="X528" s="267">
        <f t="shared" si="185"/>
        <v>22829811.208810329</v>
      </c>
      <c r="Y528" s="267">
        <f t="shared" si="185"/>
        <v>22634972.296718977</v>
      </c>
      <c r="Z528" s="267">
        <f t="shared" si="185"/>
        <v>21668290.000096649</v>
      </c>
    </row>
    <row r="529" spans="1:26" x14ac:dyDescent="0.25">
      <c r="B529" s="274" t="s">
        <v>204</v>
      </c>
      <c r="C529" s="275"/>
      <c r="D529" s="39"/>
      <c r="E529" s="39"/>
      <c r="F529" s="276">
        <f>SUM(F523:F527)</f>
        <v>0</v>
      </c>
      <c r="G529" s="276">
        <f>SUM(G523:G527)-G525</f>
        <v>-2661785.1372075039</v>
      </c>
      <c r="H529" s="276">
        <f t="shared" ref="H529:Z529" si="186">SUM(H523:H527)-H525</f>
        <v>-2254971.0586226527</v>
      </c>
      <c r="I529" s="276">
        <f t="shared" si="186"/>
        <v>1727056.706969568</v>
      </c>
      <c r="J529" s="276">
        <f t="shared" si="186"/>
        <v>10716252.437430803</v>
      </c>
      <c r="K529" s="276">
        <f t="shared" si="186"/>
        <v>16363126.541004421</v>
      </c>
      <c r="L529" s="276">
        <f t="shared" si="186"/>
        <v>22409498.960308939</v>
      </c>
      <c r="M529" s="276">
        <f t="shared" si="186"/>
        <v>24888527.435011748</v>
      </c>
      <c r="N529" s="276">
        <f t="shared" si="186"/>
        <v>26496097.882786319</v>
      </c>
      <c r="O529" s="276">
        <f t="shared" si="186"/>
        <v>26695464.093444373</v>
      </c>
      <c r="P529" s="276">
        <f t="shared" si="186"/>
        <v>25803671.120625865</v>
      </c>
      <c r="Q529" s="276">
        <f t="shared" si="186"/>
        <v>24428776.487101316</v>
      </c>
      <c r="R529" s="276">
        <f t="shared" si="186"/>
        <v>23228056.738124043</v>
      </c>
      <c r="S529" s="276">
        <f t="shared" si="186"/>
        <v>22891223.177834492</v>
      </c>
      <c r="T529" s="276">
        <f t="shared" si="186"/>
        <v>22937939.074470885</v>
      </c>
      <c r="U529" s="276">
        <f t="shared" si="186"/>
        <v>23810737.726768769</v>
      </c>
      <c r="V529" s="276">
        <f t="shared" si="186"/>
        <v>24823612.115805831</v>
      </c>
      <c r="W529" s="276">
        <f t="shared" si="186"/>
        <v>25661209.804022457</v>
      </c>
      <c r="X529" s="276">
        <f t="shared" si="186"/>
        <v>25852227.133892868</v>
      </c>
      <c r="Y529" s="276">
        <f t="shared" si="186"/>
        <v>25665341.167151507</v>
      </c>
      <c r="Z529" s="354">
        <f t="shared" si="186"/>
        <v>24590393.361041777</v>
      </c>
    </row>
    <row r="530" spans="1:26" x14ac:dyDescent="0.25">
      <c r="B530" s="10"/>
      <c r="C530" s="14"/>
      <c r="D530" s="2"/>
      <c r="E530" s="2"/>
      <c r="F530" s="2"/>
      <c r="G530" s="2"/>
      <c r="H530" s="2"/>
      <c r="I530" s="2"/>
      <c r="J530" s="2"/>
      <c r="K530" s="2"/>
      <c r="L530" s="2"/>
      <c r="M530" s="2"/>
      <c r="N530" s="2"/>
      <c r="O530" s="2"/>
      <c r="P530" s="2"/>
      <c r="Q530" s="2"/>
      <c r="R530" s="2"/>
      <c r="S530" s="2"/>
      <c r="T530" s="2"/>
      <c r="U530" s="2"/>
      <c r="V530" s="2"/>
      <c r="W530" s="2"/>
      <c r="X530" s="2"/>
      <c r="Y530" s="2"/>
      <c r="Z530" s="15"/>
    </row>
    <row r="531" spans="1:26" x14ac:dyDescent="0.25">
      <c r="B531" s="111" t="s">
        <v>242</v>
      </c>
      <c r="C531" s="307"/>
      <c r="D531" s="308">
        <f>NPV($D$168, H525:Z525)+G525</f>
        <v>13954457.167605281</v>
      </c>
      <c r="E531" s="2"/>
      <c r="F531" s="2"/>
      <c r="G531" s="2"/>
      <c r="H531" s="2"/>
      <c r="I531" s="2"/>
      <c r="J531" s="2"/>
      <c r="K531" s="2"/>
      <c r="L531" s="2"/>
      <c r="M531" s="2"/>
      <c r="N531" s="2"/>
      <c r="O531" s="2"/>
      <c r="P531" s="2"/>
      <c r="Q531" s="2"/>
      <c r="R531" s="2"/>
      <c r="S531" s="2"/>
      <c r="T531" s="2"/>
      <c r="U531" s="2"/>
      <c r="V531" s="2"/>
      <c r="W531" s="2"/>
      <c r="X531" s="2"/>
      <c r="Y531" s="2"/>
      <c r="Z531" s="15"/>
    </row>
    <row r="532" spans="1:26" x14ac:dyDescent="0.25">
      <c r="B532" s="111" t="s">
        <v>243</v>
      </c>
      <c r="C532" s="307"/>
      <c r="D532" s="308">
        <f>NPV($D$168, H528:Z528)+G528</f>
        <v>107397720.42411497</v>
      </c>
      <c r="E532" s="2"/>
      <c r="F532" s="2"/>
      <c r="G532" s="2"/>
      <c r="H532" s="2"/>
      <c r="I532" s="2"/>
      <c r="J532" s="2"/>
      <c r="K532" s="2"/>
      <c r="L532" s="2"/>
      <c r="M532" s="2"/>
      <c r="N532" s="2"/>
      <c r="O532" s="2"/>
      <c r="P532" s="2"/>
      <c r="Q532" s="2"/>
      <c r="R532" s="2"/>
      <c r="S532" s="2"/>
      <c r="T532" s="2"/>
      <c r="U532" s="2"/>
      <c r="V532" s="2"/>
      <c r="W532" s="2"/>
      <c r="X532" s="2"/>
      <c r="Y532" s="2"/>
      <c r="Z532" s="15"/>
    </row>
    <row r="533" spans="1:26" x14ac:dyDescent="0.25">
      <c r="B533" s="10"/>
      <c r="C533" s="14"/>
      <c r="D533" s="2"/>
      <c r="E533" s="2"/>
      <c r="F533" s="2"/>
      <c r="G533" s="2"/>
      <c r="H533" s="2"/>
      <c r="I533" s="2"/>
      <c r="J533" s="2"/>
      <c r="K533" s="2"/>
      <c r="L533" s="2"/>
      <c r="M533" s="2"/>
      <c r="N533" s="2"/>
      <c r="O533" s="2"/>
      <c r="P533" s="2"/>
      <c r="Q533" s="2"/>
      <c r="R533" s="2"/>
      <c r="S533" s="2"/>
      <c r="T533" s="2"/>
      <c r="U533" s="2"/>
      <c r="V533" s="2"/>
      <c r="W533" s="2"/>
      <c r="X533" s="2"/>
      <c r="Y533" s="2"/>
      <c r="Z533" s="15"/>
    </row>
    <row r="534" spans="1:26" x14ac:dyDescent="0.25">
      <c r="B534" s="56" t="s">
        <v>72</v>
      </c>
      <c r="C534" s="277"/>
      <c r="D534" s="277"/>
      <c r="E534" s="277"/>
      <c r="F534" s="39"/>
      <c r="G534" s="277">
        <f>G349*(1+$D$172)</f>
        <v>25004374.520135999</v>
      </c>
      <c r="H534" s="277">
        <f>H349*(1+$D$172)</f>
        <v>22955900.537581865</v>
      </c>
      <c r="I534" s="277">
        <f>I349*(1+$D$172)</f>
        <v>22891171.706056327</v>
      </c>
      <c r="J534" s="277">
        <f>J349*(1+$D$172)</f>
        <v>20557342.157013517</v>
      </c>
      <c r="K534" s="277">
        <f>K349*(1+$D$172)</f>
        <v>19606604.128665671</v>
      </c>
      <c r="L534" s="63"/>
      <c r="M534" s="63"/>
      <c r="N534" s="63"/>
      <c r="O534" s="63"/>
      <c r="P534" s="63"/>
      <c r="Q534" s="63"/>
      <c r="R534" s="63"/>
      <c r="S534" s="63"/>
      <c r="T534" s="63"/>
      <c r="U534" s="63"/>
      <c r="V534" s="63"/>
      <c r="W534" s="63"/>
      <c r="X534" s="63"/>
      <c r="Y534" s="63"/>
      <c r="Z534" s="118"/>
    </row>
    <row r="535" spans="1:26" x14ac:dyDescent="0.25">
      <c r="B535" s="9"/>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118"/>
    </row>
    <row r="536" spans="1:26" x14ac:dyDescent="0.25">
      <c r="B536" s="10" t="s">
        <v>176</v>
      </c>
      <c r="C536" s="63"/>
      <c r="D536" s="63"/>
      <c r="E536" s="63"/>
      <c r="F536" s="63">
        <f>F529-F534</f>
        <v>0</v>
      </c>
      <c r="G536" s="63">
        <f t="shared" ref="G536:Z536" si="187">G529-G534</f>
        <v>-27666159.657343503</v>
      </c>
      <c r="H536" s="63">
        <f t="shared" si="187"/>
        <v>-25210871.596204519</v>
      </c>
      <c r="I536" s="63">
        <f t="shared" si="187"/>
        <v>-21164114.99908676</v>
      </c>
      <c r="J536" s="63">
        <f t="shared" si="187"/>
        <v>-9841089.7195827141</v>
      </c>
      <c r="K536" s="63">
        <f t="shared" si="187"/>
        <v>-3243477.5876612496</v>
      </c>
      <c r="L536" s="63">
        <f t="shared" si="187"/>
        <v>22409498.960308939</v>
      </c>
      <c r="M536" s="63">
        <f t="shared" si="187"/>
        <v>24888527.435011748</v>
      </c>
      <c r="N536" s="63">
        <f t="shared" si="187"/>
        <v>26496097.882786319</v>
      </c>
      <c r="O536" s="63">
        <f t="shared" si="187"/>
        <v>26695464.093444373</v>
      </c>
      <c r="P536" s="63">
        <f t="shared" si="187"/>
        <v>25803671.120625865</v>
      </c>
      <c r="Q536" s="63">
        <f t="shared" si="187"/>
        <v>24428776.487101316</v>
      </c>
      <c r="R536" s="63">
        <f t="shared" si="187"/>
        <v>23228056.738124043</v>
      </c>
      <c r="S536" s="63">
        <f t="shared" si="187"/>
        <v>22891223.177834492</v>
      </c>
      <c r="T536" s="63">
        <f t="shared" si="187"/>
        <v>22937939.074470885</v>
      </c>
      <c r="U536" s="63">
        <f t="shared" si="187"/>
        <v>23810737.726768769</v>
      </c>
      <c r="V536" s="63">
        <f t="shared" si="187"/>
        <v>24823612.115805831</v>
      </c>
      <c r="W536" s="63">
        <f t="shared" si="187"/>
        <v>25661209.804022457</v>
      </c>
      <c r="X536" s="63">
        <f t="shared" si="187"/>
        <v>25852227.133892868</v>
      </c>
      <c r="Y536" s="63">
        <f t="shared" si="187"/>
        <v>25665341.167151507</v>
      </c>
      <c r="Z536" s="118">
        <f t="shared" si="187"/>
        <v>24590393.361041777</v>
      </c>
    </row>
    <row r="537" spans="1:26" x14ac:dyDescent="0.25">
      <c r="B537" s="10"/>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118"/>
    </row>
    <row r="538" spans="1:26" x14ac:dyDescent="0.25">
      <c r="B538" s="30" t="s">
        <v>205</v>
      </c>
      <c r="C538" s="112"/>
      <c r="D538" s="273">
        <f>NPV($D$168,H536:AA536)+G536</f>
        <v>30510099.897050906</v>
      </c>
      <c r="E538" s="355"/>
      <c r="F538" s="63"/>
      <c r="G538" s="63"/>
      <c r="H538" s="63"/>
      <c r="I538" s="63"/>
      <c r="J538" s="63"/>
      <c r="K538" s="63"/>
      <c r="L538" s="63"/>
      <c r="M538" s="63"/>
      <c r="N538" s="63"/>
      <c r="O538" s="63"/>
      <c r="P538" s="63"/>
      <c r="Q538" s="63"/>
      <c r="R538" s="63"/>
      <c r="S538" s="63"/>
      <c r="T538" s="63"/>
      <c r="U538" s="63"/>
      <c r="V538" s="63"/>
      <c r="W538" s="63"/>
      <c r="X538" s="63"/>
      <c r="Y538" s="63"/>
      <c r="Z538" s="118"/>
    </row>
    <row r="539" spans="1:26" ht="15.75" thickBot="1" x14ac:dyDescent="0.3">
      <c r="B539" s="31" t="s">
        <v>269</v>
      </c>
      <c r="C539" s="270"/>
      <c r="D539" s="269">
        <f>IRR(F536:Z536)</f>
        <v>0.16484357262435045</v>
      </c>
      <c r="E539" s="356"/>
      <c r="F539" s="12"/>
      <c r="G539" s="12"/>
      <c r="H539" s="34"/>
      <c r="I539" s="22"/>
      <c r="J539" s="22"/>
      <c r="K539" s="22"/>
      <c r="L539" s="33"/>
      <c r="M539" s="12"/>
      <c r="N539" s="35"/>
      <c r="O539" s="36"/>
      <c r="P539" s="12"/>
      <c r="Q539" s="12"/>
      <c r="R539" s="12"/>
      <c r="S539" s="12"/>
      <c r="T539" s="12"/>
      <c r="U539" s="12"/>
      <c r="V539" s="12"/>
      <c r="W539" s="12"/>
      <c r="X539" s="12"/>
      <c r="Y539" s="12"/>
      <c r="Z539" s="13"/>
    </row>
    <row r="541" spans="1:26" s="69" customFormat="1" ht="24.75" customHeight="1" x14ac:dyDescent="0.4">
      <c r="A541" s="53"/>
      <c r="B541" s="150" t="s">
        <v>87</v>
      </c>
      <c r="C541" s="151"/>
      <c r="D541" s="152"/>
      <c r="E541" s="152"/>
      <c r="F541" s="152"/>
      <c r="G541" s="152"/>
      <c r="H541" s="152"/>
      <c r="I541" s="153"/>
      <c r="J541" s="153"/>
      <c r="K541" s="153"/>
      <c r="L541" s="153"/>
      <c r="M541" s="153"/>
      <c r="N541" s="153"/>
      <c r="O541" s="153"/>
    </row>
    <row r="543" spans="1:26" s="69" customFormat="1" x14ac:dyDescent="0.25">
      <c r="B543" s="310" t="s">
        <v>116</v>
      </c>
      <c r="C543" s="311"/>
      <c r="D543" s="311"/>
      <c r="E543" s="311"/>
      <c r="F543" s="311"/>
      <c r="G543" s="311"/>
      <c r="H543" s="311"/>
    </row>
    <row r="544" spans="1:26" s="69" customFormat="1" x14ac:dyDescent="0.25">
      <c r="B544" s="347">
        <f>D538</f>
        <v>30510099.897050906</v>
      </c>
      <c r="C544" s="348">
        <v>0.1</v>
      </c>
      <c r="D544" s="348">
        <v>0.3</v>
      </c>
      <c r="E544" s="348">
        <v>0.5</v>
      </c>
      <c r="F544" s="349">
        <v>0.7</v>
      </c>
      <c r="G544" s="348">
        <v>0.9</v>
      </c>
      <c r="H544" s="348">
        <v>1</v>
      </c>
    </row>
    <row r="545" spans="2:13" s="69" customFormat="1" x14ac:dyDescent="0.25">
      <c r="B545" s="350">
        <v>0.9</v>
      </c>
      <c r="C545" s="321">
        <f t="dataTable" ref="C545:H550" dt2D="1" dtr="1" r1="H10" r2="H9"/>
        <v>-26286335.834741652</v>
      </c>
      <c r="D545" s="351">
        <v>2353056.2783556767</v>
      </c>
      <c r="E545" s="351">
        <v>30992448.39145299</v>
      </c>
      <c r="F545" s="351">
        <v>59631840.504550323</v>
      </c>
      <c r="G545" s="351">
        <v>88271232.617647678</v>
      </c>
      <c r="H545" s="352">
        <v>102590928.67419632</v>
      </c>
    </row>
    <row r="546" spans="2:13" s="69" customFormat="1" x14ac:dyDescent="0.25">
      <c r="B546" s="350">
        <v>0.7</v>
      </c>
      <c r="C546" s="351">
        <v>-37449901.568825886</v>
      </c>
      <c r="D546" s="321">
        <v>-8810509.4557285532</v>
      </c>
      <c r="E546" s="351">
        <v>19828882.657368783</v>
      </c>
      <c r="F546" s="351">
        <v>48468274.770466104</v>
      </c>
      <c r="G546" s="351">
        <v>77107666.883563414</v>
      </c>
      <c r="H546" s="352">
        <v>91427362.940112099</v>
      </c>
    </row>
    <row r="547" spans="2:13" s="69" customFormat="1" x14ac:dyDescent="0.25">
      <c r="B547" s="350">
        <v>0.5</v>
      </c>
      <c r="C547" s="351">
        <v>-48613467.302910119</v>
      </c>
      <c r="D547" s="351">
        <v>-19974075.189812779</v>
      </c>
      <c r="E547" s="320">
        <v>8665316.923284553</v>
      </c>
      <c r="F547" s="351">
        <v>37304709.036381885</v>
      </c>
      <c r="G547" s="351">
        <v>65944101.149479225</v>
      </c>
      <c r="H547" s="352">
        <v>80263797.206027865</v>
      </c>
    </row>
    <row r="548" spans="2:13" s="69" customFormat="1" x14ac:dyDescent="0.25">
      <c r="B548" s="353">
        <v>0.3</v>
      </c>
      <c r="C548" s="351">
        <v>-59777033.036994323</v>
      </c>
      <c r="D548" s="351">
        <v>-31137640.923897009</v>
      </c>
      <c r="E548" s="351">
        <v>-2498248.8107996807</v>
      </c>
      <c r="F548" s="322">
        <v>26141143.302297663</v>
      </c>
      <c r="G548" s="351">
        <v>54780535.415394999</v>
      </c>
      <c r="H548" s="352">
        <v>69100231.471943647</v>
      </c>
    </row>
    <row r="549" spans="2:13" s="69" customFormat="1" x14ac:dyDescent="0.25">
      <c r="B549" s="350">
        <v>0.1</v>
      </c>
      <c r="C549" s="351">
        <v>-70940598.771078557</v>
      </c>
      <c r="D549" s="351">
        <v>-42301206.657981239</v>
      </c>
      <c r="E549" s="351">
        <v>-13661814.544883907</v>
      </c>
      <c r="F549" s="351">
        <v>14977577.568213426</v>
      </c>
      <c r="G549" s="320">
        <v>43616969.681310751</v>
      </c>
      <c r="H549" s="352">
        <v>57936665.73785942</v>
      </c>
    </row>
    <row r="550" spans="2:13" s="69" customFormat="1" x14ac:dyDescent="0.25">
      <c r="B550" s="350">
        <v>0</v>
      </c>
      <c r="C550" s="351">
        <v>-76522381.638120666</v>
      </c>
      <c r="D550" s="351">
        <v>-47882989.525023341</v>
      </c>
      <c r="E550" s="351">
        <v>-19243597.411926009</v>
      </c>
      <c r="F550" s="351">
        <v>9395794.7011713162</v>
      </c>
      <c r="G550" s="351">
        <v>38035186.814268656</v>
      </c>
      <c r="H550" s="315">
        <v>52354882.870817319</v>
      </c>
    </row>
    <row r="552" spans="2:13" x14ac:dyDescent="0.25">
      <c r="B552" s="310" t="s">
        <v>88</v>
      </c>
      <c r="C552" s="311"/>
      <c r="D552" s="311"/>
      <c r="E552" s="311"/>
      <c r="G552" s="310" t="s">
        <v>270</v>
      </c>
      <c r="H552" s="311"/>
      <c r="J552" s="1" t="s">
        <v>267</v>
      </c>
    </row>
    <row r="553" spans="2:13" x14ac:dyDescent="0.25">
      <c r="B553" s="311"/>
      <c r="C553" s="319" t="s">
        <v>89</v>
      </c>
      <c r="D553" s="319" t="s">
        <v>118</v>
      </c>
      <c r="E553" s="319" t="s">
        <v>90</v>
      </c>
      <c r="G553" s="311"/>
      <c r="H553" s="319" t="s">
        <v>90</v>
      </c>
      <c r="I553" s="198"/>
      <c r="K553" s="198" t="s">
        <v>89</v>
      </c>
      <c r="L553" s="198" t="s">
        <v>118</v>
      </c>
      <c r="M553" s="198" t="s">
        <v>90</v>
      </c>
    </row>
    <row r="554" spans="2:13" x14ac:dyDescent="0.25">
      <c r="B554" s="311"/>
      <c r="C554" s="312">
        <f>$D$531</f>
        <v>13954457.167605281</v>
      </c>
      <c r="D554" s="312">
        <f>$D$532</f>
        <v>107397720.42411497</v>
      </c>
      <c r="E554" s="312">
        <f>$D$538</f>
        <v>30510099.897050906</v>
      </c>
      <c r="G554" s="311"/>
      <c r="H554" s="312">
        <f>$D$538</f>
        <v>30510099.897050906</v>
      </c>
      <c r="I554" s="162"/>
      <c r="K554" s="238">
        <f>$D$531</f>
        <v>13954457.167605281</v>
      </c>
      <c r="L554" s="238">
        <f>$D$532</f>
        <v>107397720.42411497</v>
      </c>
      <c r="M554" s="238">
        <f>$D$538</f>
        <v>30510099.897050906</v>
      </c>
    </row>
    <row r="555" spans="2:13" x14ac:dyDescent="0.25">
      <c r="B555" s="311">
        <v>0.5</v>
      </c>
      <c r="C555" s="320">
        <f t="dataTable" ref="C555:E561" dt2D="0" dtr="0" r1="F14" ca="1"/>
        <v>9967469.4054323304</v>
      </c>
      <c r="D555" s="320">
        <v>76712657.445796356</v>
      </c>
      <c r="E555" s="321">
        <v>-4161950.843440637</v>
      </c>
      <c r="G555" s="317">
        <v>5000</v>
      </c>
      <c r="H555" s="340">
        <f t="dataTable" ref="H555:H560" dt2D="0" dtr="0" r1="H8" ca="1"/>
        <v>-4161950.8434405811</v>
      </c>
      <c r="I555" s="163"/>
      <c r="J555" s="211">
        <v>0.15</v>
      </c>
      <c r="K555" s="163">
        <f t="dataTable" ref="K555:M558" dt2D="0" dtr="0" r1="H11" ca="1"/>
        <v>14494130.982551349</v>
      </c>
      <c r="L555" s="163">
        <v>110224720.00003439</v>
      </c>
      <c r="M555" s="357">
        <v>33876773.287916392</v>
      </c>
    </row>
    <row r="556" spans="2:13" x14ac:dyDescent="0.25">
      <c r="B556" s="313">
        <v>0.55000000000000004</v>
      </c>
      <c r="C556" s="320">
        <v>10964216.345975555</v>
      </c>
      <c r="D556" s="320">
        <v>84383923.190376043</v>
      </c>
      <c r="E556" s="320">
        <v>4506061.8416822776</v>
      </c>
      <c r="G556" s="316">
        <v>6000</v>
      </c>
      <c r="H556" s="315">
        <v>13174074.526805177</v>
      </c>
      <c r="I556" s="163"/>
      <c r="J556" s="332">
        <v>0.25</v>
      </c>
      <c r="K556" s="223">
        <v>13954457.167605281</v>
      </c>
      <c r="L556" s="223">
        <v>107397720.42411497</v>
      </c>
      <c r="M556" s="360">
        <v>30510099.897050906</v>
      </c>
    </row>
    <row r="557" spans="2:13" x14ac:dyDescent="0.25">
      <c r="B557" s="311">
        <v>0.6</v>
      </c>
      <c r="C557" s="320">
        <v>11960963.286518814</v>
      </c>
      <c r="D557" s="320">
        <v>92055188.934955731</v>
      </c>
      <c r="E557" s="320">
        <v>13174074.526805222</v>
      </c>
      <c r="G557" s="318">
        <v>7000</v>
      </c>
      <c r="H557" s="359">
        <v>30510099.897050906</v>
      </c>
      <c r="I557" s="163"/>
      <c r="J557" s="211">
        <v>0.35</v>
      </c>
      <c r="K557" s="163">
        <v>13414783.352659214</v>
      </c>
      <c r="L557" s="163">
        <v>104570720.84819555</v>
      </c>
      <c r="M557" s="357">
        <v>27143426.506185465</v>
      </c>
    </row>
    <row r="558" spans="2:13" x14ac:dyDescent="0.25">
      <c r="B558" s="313">
        <v>0.65</v>
      </c>
      <c r="C558" s="320">
        <v>12957710.227062039</v>
      </c>
      <c r="D558" s="320">
        <v>99726454.679535419</v>
      </c>
      <c r="E558" s="320">
        <v>21842087.211928107</v>
      </c>
      <c r="G558" s="317">
        <v>8000</v>
      </c>
      <c r="H558" s="317">
        <v>47846125.26729665</v>
      </c>
      <c r="I558" s="163"/>
      <c r="J558" s="211">
        <v>1</v>
      </c>
      <c r="K558" s="163">
        <v>9906903.5555097889</v>
      </c>
      <c r="L558" s="163">
        <v>86195223.60471943</v>
      </c>
      <c r="M558" s="357">
        <v>5260049.4655598886</v>
      </c>
    </row>
    <row r="559" spans="2:13" x14ac:dyDescent="0.25">
      <c r="B559" s="310">
        <v>0.7</v>
      </c>
      <c r="C559" s="322">
        <v>13954457.167605281</v>
      </c>
      <c r="D559" s="322">
        <v>107397720.42411497</v>
      </c>
      <c r="E559" s="322">
        <v>30510099.897050906</v>
      </c>
      <c r="G559" s="317">
        <v>9000</v>
      </c>
      <c r="H559" s="317">
        <v>65182150.637542427</v>
      </c>
      <c r="J559" s="211"/>
      <c r="M559" s="361"/>
    </row>
    <row r="560" spans="2:13" x14ac:dyDescent="0.25">
      <c r="B560" s="311">
        <v>0.75</v>
      </c>
      <c r="C560" s="320">
        <v>14951204.108148474</v>
      </c>
      <c r="D560" s="320">
        <v>115068986.16869462</v>
      </c>
      <c r="E560" s="320">
        <v>39178112.58217375</v>
      </c>
      <c r="G560" s="317">
        <v>10000</v>
      </c>
      <c r="H560" s="317">
        <v>82518176.007788166</v>
      </c>
      <c r="J560" s="211"/>
    </row>
    <row r="561" spans="2:10" x14ac:dyDescent="0.25">
      <c r="B561" s="311">
        <v>0.8</v>
      </c>
      <c r="C561" s="320">
        <v>15947951.048691768</v>
      </c>
      <c r="D561" s="320">
        <v>122740251.91327427</v>
      </c>
      <c r="E561" s="320">
        <v>47846125.267296709</v>
      </c>
      <c r="G561" s="317"/>
      <c r="H561" s="317"/>
      <c r="J561" s="211"/>
    </row>
    <row r="563" spans="2:10" x14ac:dyDescent="0.25">
      <c r="B563" s="310" t="s">
        <v>177</v>
      </c>
      <c r="C563" s="311"/>
      <c r="D563" s="311"/>
      <c r="E563" s="311"/>
      <c r="F563" s="311"/>
      <c r="G563" s="311"/>
      <c r="H563" s="311"/>
      <c r="I563" s="69"/>
      <c r="J563" s="69"/>
    </row>
    <row r="564" spans="2:10" x14ac:dyDescent="0.25">
      <c r="B564" s="312">
        <f>$D$538</f>
        <v>30510099.897050906</v>
      </c>
      <c r="C564" s="333">
        <v>850</v>
      </c>
      <c r="D564" s="333">
        <v>950</v>
      </c>
      <c r="E564" s="333">
        <v>1050</v>
      </c>
      <c r="F564" s="319">
        <v>1180</v>
      </c>
      <c r="G564" s="333">
        <v>1250</v>
      </c>
      <c r="H564" s="333">
        <v>1350</v>
      </c>
      <c r="I564" s="226"/>
      <c r="J564" s="198"/>
    </row>
    <row r="565" spans="2:10" x14ac:dyDescent="0.25">
      <c r="B565" s="313">
        <v>700</v>
      </c>
      <c r="C565" s="321">
        <f t="dataTable" ref="C565:H572" dt2D="1" dtr="1" r1="H19" r2="H20" ca="1"/>
        <v>-194533077.79661155</v>
      </c>
      <c r="D565" s="321">
        <v>-184029760.41005424</v>
      </c>
      <c r="E565" s="321">
        <v>-173526443.02349681</v>
      </c>
      <c r="F565" s="321">
        <v>-159872130.4209722</v>
      </c>
      <c r="G565" s="321">
        <v>-152519808.25038201</v>
      </c>
      <c r="H565" s="321">
        <v>-142016490.86382467</v>
      </c>
      <c r="I565" s="225"/>
      <c r="J565" s="203"/>
    </row>
    <row r="566" spans="2:10" x14ac:dyDescent="0.25">
      <c r="B566" s="313">
        <v>800</v>
      </c>
      <c r="C566" s="321">
        <v>-154870113.14702341</v>
      </c>
      <c r="D566" s="321">
        <v>-144366795.76046607</v>
      </c>
      <c r="E566" s="321">
        <v>-133863478.37390871</v>
      </c>
      <c r="F566" s="321">
        <v>-120209165.77138408</v>
      </c>
      <c r="G566" s="321">
        <v>-112856843.60079393</v>
      </c>
      <c r="H566" s="321">
        <v>-102353526.21423654</v>
      </c>
      <c r="I566" s="225"/>
      <c r="J566" s="203"/>
    </row>
    <row r="567" spans="2:10" x14ac:dyDescent="0.25">
      <c r="B567" s="313">
        <v>900</v>
      </c>
      <c r="C567" s="321">
        <v>-115207148.49743535</v>
      </c>
      <c r="D567" s="321">
        <v>-104703831.11087796</v>
      </c>
      <c r="E567" s="321">
        <v>-94200513.724320561</v>
      </c>
      <c r="F567" s="321">
        <v>-80546201.121795937</v>
      </c>
      <c r="G567" s="321">
        <v>-73193878.95120576</v>
      </c>
      <c r="H567" s="321">
        <v>-62690561.56464839</v>
      </c>
      <c r="I567" s="225"/>
      <c r="J567" s="203"/>
    </row>
    <row r="568" spans="2:10" x14ac:dyDescent="0.25">
      <c r="B568" s="313">
        <v>1000</v>
      </c>
      <c r="C568" s="321">
        <v>-75544183.847847179</v>
      </c>
      <c r="D568" s="321">
        <v>-65040866.461289808</v>
      </c>
      <c r="E568" s="321">
        <v>-54537549.074732393</v>
      </c>
      <c r="F568" s="321">
        <v>-40883236.472207785</v>
      </c>
      <c r="G568" s="321">
        <v>-33530914.301617622</v>
      </c>
      <c r="H568" s="321">
        <v>-23027596.915060237</v>
      </c>
      <c r="I568" s="225"/>
      <c r="J568" s="203"/>
    </row>
    <row r="569" spans="2:10" x14ac:dyDescent="0.25">
      <c r="B569" s="313">
        <v>1100</v>
      </c>
      <c r="C569" s="321">
        <v>-35881219.198258989</v>
      </c>
      <c r="D569" s="321">
        <v>-25377901.811701603</v>
      </c>
      <c r="E569" s="321">
        <v>-14874584.42514421</v>
      </c>
      <c r="F569" s="321">
        <v>-1220271.8226196207</v>
      </c>
      <c r="G569" s="320">
        <v>6132050.3479705788</v>
      </c>
      <c r="H569" s="320">
        <v>16635367.734527949</v>
      </c>
      <c r="I569" s="203"/>
      <c r="J569" s="203"/>
    </row>
    <row r="570" spans="2:10" x14ac:dyDescent="0.25">
      <c r="B570" s="310">
        <v>1180</v>
      </c>
      <c r="C570" s="321">
        <v>-4150847.4785884582</v>
      </c>
      <c r="D570" s="320">
        <v>6352469.9079689272</v>
      </c>
      <c r="E570" s="320">
        <v>16855787.294526313</v>
      </c>
      <c r="F570" s="322">
        <v>30510099.897050906</v>
      </c>
      <c r="G570" s="320">
        <v>37862422.067641109</v>
      </c>
      <c r="H570" s="320">
        <v>48365739.45419848</v>
      </c>
      <c r="I570" s="203"/>
      <c r="J570" s="203"/>
    </row>
    <row r="571" spans="2:10" x14ac:dyDescent="0.25">
      <c r="B571" s="313">
        <v>1300</v>
      </c>
      <c r="C571" s="320">
        <v>43444710.100917369</v>
      </c>
      <c r="D571" s="320">
        <v>53948027.487474769</v>
      </c>
      <c r="E571" s="320">
        <v>64451344.87403217</v>
      </c>
      <c r="F571" s="320">
        <v>78105657.476556793</v>
      </c>
      <c r="G571" s="320">
        <v>85457979.64714691</v>
      </c>
      <c r="H571" s="320">
        <v>95961297.033704326</v>
      </c>
      <c r="I571" s="203"/>
      <c r="J571" s="203"/>
    </row>
    <row r="572" spans="2:10" x14ac:dyDescent="0.25">
      <c r="B572" s="313">
        <v>1400</v>
      </c>
      <c r="C572" s="320">
        <v>83107674.750505492</v>
      </c>
      <c r="D572" s="320">
        <v>93610992.137062877</v>
      </c>
      <c r="E572" s="320">
        <v>104114309.52362023</v>
      </c>
      <c r="F572" s="320">
        <v>117768622.12614489</v>
      </c>
      <c r="G572" s="320">
        <v>125120944.29673505</v>
      </c>
      <c r="H572" s="320">
        <v>135624261.68329242</v>
      </c>
      <c r="I572" s="203"/>
      <c r="J572" s="203"/>
    </row>
    <row r="574" spans="2:10" x14ac:dyDescent="0.25">
      <c r="B574" s="53" t="s">
        <v>91</v>
      </c>
      <c r="C574" s="69"/>
      <c r="D574" s="69"/>
      <c r="F574" s="310" t="s">
        <v>117</v>
      </c>
      <c r="G574" s="311"/>
      <c r="H574" s="311"/>
    </row>
    <row r="575" spans="2:10" x14ac:dyDescent="0.25">
      <c r="B575" s="69"/>
      <c r="C575" s="53" t="s">
        <v>89</v>
      </c>
      <c r="D575" s="53" t="s">
        <v>90</v>
      </c>
      <c r="F575" s="311"/>
      <c r="G575" s="310" t="s">
        <v>118</v>
      </c>
      <c r="H575" s="310" t="s">
        <v>90</v>
      </c>
    </row>
    <row r="576" spans="2:10" x14ac:dyDescent="0.25">
      <c r="B576" s="69"/>
      <c r="C576" s="238">
        <f>$D$531</f>
        <v>13954457.167605281</v>
      </c>
      <c r="D576" s="238">
        <f>$D$538</f>
        <v>30510099.897050906</v>
      </c>
      <c r="F576" s="311"/>
      <c r="G576" s="312">
        <f>$D$532</f>
        <v>107397720.42411497</v>
      </c>
      <c r="H576" s="312">
        <f>$D$538</f>
        <v>30510099.897050906</v>
      </c>
    </row>
    <row r="577" spans="2:10" x14ac:dyDescent="0.25">
      <c r="B577" s="227">
        <v>850</v>
      </c>
      <c r="C577" s="214">
        <f t="dataTable" ref="C577:D582" dt2D="0" dtr="0" r1="H19" ca="1"/>
        <v>-20706490.208034102</v>
      </c>
      <c r="D577" s="214">
        <v>-4150847.4785884582</v>
      </c>
      <c r="F577" s="313">
        <v>700</v>
      </c>
      <c r="G577" s="314">
        <f t="dataTable" ref="G577:H583" dt2D="0" dtr="0" r1="H20" ca="1"/>
        <v>-82984509.893908173</v>
      </c>
      <c r="H577" s="314">
        <v>-159872130.4209722</v>
      </c>
      <c r="I577" s="162">
        <f>H578-H577</f>
        <v>39662964.649588123</v>
      </c>
      <c r="J577" s="211">
        <f>(H577-H578)/H578</f>
        <v>0.32994958741349101</v>
      </c>
    </row>
    <row r="578" spans="2:10" x14ac:dyDescent="0.25">
      <c r="B578" s="227">
        <v>950</v>
      </c>
      <c r="C578" s="214">
        <v>-10203172.82147672</v>
      </c>
      <c r="D578" s="200">
        <v>6352469.9079689272</v>
      </c>
      <c r="F578" s="313">
        <v>800</v>
      </c>
      <c r="G578" s="314">
        <v>-43321545.24432002</v>
      </c>
      <c r="H578" s="314">
        <v>-120209165.77138408</v>
      </c>
      <c r="I578" s="162">
        <f t="shared" ref="I578:I579" si="188">H579-H578</f>
        <v>39662964.649588138</v>
      </c>
      <c r="J578" s="211">
        <f t="shared" ref="J578:J580" si="189">(H578-H579)/H579</f>
        <v>0.492425019394928</v>
      </c>
    </row>
    <row r="579" spans="2:10" x14ac:dyDescent="0.25">
      <c r="B579" s="227">
        <v>1050</v>
      </c>
      <c r="C579" s="200">
        <v>300144.56508067495</v>
      </c>
      <c r="D579" s="200">
        <v>16855787.294526313</v>
      </c>
      <c r="F579" s="313">
        <v>900</v>
      </c>
      <c r="G579" s="314">
        <v>-3658580.5947319111</v>
      </c>
      <c r="H579" s="314">
        <v>-80546201.121795937</v>
      </c>
      <c r="I579" s="162">
        <f t="shared" si="188"/>
        <v>39662964.649588153</v>
      </c>
      <c r="J579" s="211">
        <f t="shared" si="189"/>
        <v>0.9701522695384166</v>
      </c>
    </row>
    <row r="580" spans="2:10" x14ac:dyDescent="0.25">
      <c r="B580" s="53">
        <v>1180</v>
      </c>
      <c r="C580" s="224">
        <v>13954457.167605281</v>
      </c>
      <c r="D580" s="230">
        <v>30510099.897050906</v>
      </c>
      <c r="F580" s="313">
        <v>1000</v>
      </c>
      <c r="G580" s="316">
        <v>36004384.054856263</v>
      </c>
      <c r="H580" s="314">
        <v>-40883236.472207785</v>
      </c>
      <c r="I580" s="162">
        <f>H581-H580</f>
        <v>39662964.649588168</v>
      </c>
      <c r="J580" s="211">
        <f t="shared" si="189"/>
        <v>32.503384831456344</v>
      </c>
    </row>
    <row r="581" spans="2:10" x14ac:dyDescent="0.25">
      <c r="B581" s="227">
        <v>1250</v>
      </c>
      <c r="C581" s="201">
        <v>21306779.338195466</v>
      </c>
      <c r="D581" s="200">
        <v>37862422.067641109</v>
      </c>
      <c r="F581" s="313">
        <v>1100</v>
      </c>
      <c r="G581" s="317">
        <v>75667348.704444438</v>
      </c>
      <c r="H581" s="314">
        <v>-1220271.8226196207</v>
      </c>
      <c r="I581" s="162">
        <f>H582-H581</f>
        <v>31730371.719670527</v>
      </c>
      <c r="J581" s="211">
        <f>(H581-H582)/H582</f>
        <v>-1.0399956678849673</v>
      </c>
    </row>
    <row r="582" spans="2:10" x14ac:dyDescent="0.25">
      <c r="B582" s="227">
        <v>1350</v>
      </c>
      <c r="C582" s="163">
        <v>31810096.724752832</v>
      </c>
      <c r="D582" s="163">
        <v>48365739.45419848</v>
      </c>
      <c r="F582" s="310">
        <v>1180</v>
      </c>
      <c r="G582" s="318">
        <v>107397720.42411497</v>
      </c>
      <c r="H582" s="359">
        <v>30510099.897050906</v>
      </c>
      <c r="I582" s="162">
        <f>H583-H582</f>
        <v>27764075.254711669</v>
      </c>
      <c r="J582" s="211">
        <f>(H582-H583)/H583</f>
        <v>-0.4764387515122453</v>
      </c>
    </row>
    <row r="583" spans="2:10" x14ac:dyDescent="0.25">
      <c r="B583" s="227"/>
      <c r="C583" s="163"/>
      <c r="D583" s="163"/>
      <c r="F583" s="313">
        <v>1250</v>
      </c>
      <c r="G583" s="317">
        <v>135161795.67882669</v>
      </c>
      <c r="H583" s="317">
        <v>58274175.151762575</v>
      </c>
      <c r="I583" s="162"/>
      <c r="J583" s="358"/>
    </row>
    <row r="585" spans="2:10" x14ac:dyDescent="0.25">
      <c r="B585" s="310" t="s">
        <v>59</v>
      </c>
      <c r="C585" s="311"/>
      <c r="D585" s="311"/>
      <c r="E585" s="311"/>
      <c r="F585" s="69"/>
      <c r="G585" s="53" t="s">
        <v>245</v>
      </c>
      <c r="H585" s="69"/>
    </row>
    <row r="586" spans="2:10" x14ac:dyDescent="0.25">
      <c r="B586" s="311"/>
      <c r="C586" s="319" t="s">
        <v>89</v>
      </c>
      <c r="D586" s="319" t="s">
        <v>118</v>
      </c>
      <c r="E586" s="319" t="s">
        <v>90</v>
      </c>
      <c r="F586" s="69"/>
      <c r="G586" s="69"/>
      <c r="H586" s="198" t="s">
        <v>89</v>
      </c>
      <c r="I586" s="189" t="s">
        <v>90</v>
      </c>
    </row>
    <row r="587" spans="2:10" s="69" customFormat="1" x14ac:dyDescent="0.25">
      <c r="B587" s="311"/>
      <c r="C587" s="312">
        <f>$D$531</f>
        <v>13954457.167605281</v>
      </c>
      <c r="D587" s="312">
        <f>$D$532</f>
        <v>107397720.42411497</v>
      </c>
      <c r="E587" s="312">
        <f>$D$538</f>
        <v>30510099.897050906</v>
      </c>
      <c r="H587" s="238">
        <f>$D$531</f>
        <v>13954457.167605281</v>
      </c>
      <c r="I587" s="238">
        <f>$D$538</f>
        <v>30510099.897050906</v>
      </c>
    </row>
    <row r="588" spans="2:10" x14ac:dyDescent="0.25">
      <c r="B588" s="341">
        <v>0.5</v>
      </c>
      <c r="C588" s="320">
        <f t="dataTable" ref="C588:E593" dt2D="0" dtr="0" r1="H41" ca="1"/>
        <v>8721535.7297533024</v>
      </c>
      <c r="D588" s="320">
        <v>67123575.265071839</v>
      </c>
      <c r="E588" s="321">
        <v>-14996966.699844163</v>
      </c>
      <c r="F588" s="69"/>
      <c r="G588" s="228">
        <v>0.02</v>
      </c>
      <c r="H588" s="202">
        <f t="dataTable" ref="H588:I593" dt2D="0" dtr="0" r1="H30" ca="1"/>
        <v>7741744.8566519944</v>
      </c>
      <c r="I588" s="204">
        <v>24297387.586097639</v>
      </c>
      <c r="J588" s="204"/>
    </row>
    <row r="589" spans="2:10" x14ac:dyDescent="0.25">
      <c r="B589" s="341">
        <v>0.6</v>
      </c>
      <c r="C589" s="320">
        <v>10465842.875703963</v>
      </c>
      <c r="D589" s="320">
        <v>80548290.318086252</v>
      </c>
      <c r="E589" s="320">
        <v>172055.49912085012</v>
      </c>
      <c r="F589" s="69"/>
      <c r="G589" s="228">
        <v>0.03</v>
      </c>
      <c r="H589" s="202">
        <v>12155907.650130915</v>
      </c>
      <c r="I589" s="204">
        <v>28711550.379576571</v>
      </c>
      <c r="J589" s="204"/>
    </row>
    <row r="590" spans="2:10" x14ac:dyDescent="0.25">
      <c r="B590" s="341">
        <v>0.7</v>
      </c>
      <c r="C590" s="320">
        <v>12210150.021654619</v>
      </c>
      <c r="D590" s="320">
        <v>93973005.371100634</v>
      </c>
      <c r="E590" s="320">
        <v>15341077.698085893</v>
      </c>
      <c r="F590" s="69"/>
      <c r="G590" s="206">
        <v>3.4000000000000002E-2</v>
      </c>
      <c r="H590" s="199">
        <v>13954457.167605281</v>
      </c>
      <c r="I590" s="362">
        <v>30510099.897050906</v>
      </c>
      <c r="J590" s="204"/>
    </row>
    <row r="591" spans="2:10" x14ac:dyDescent="0.25">
      <c r="B591" s="342">
        <v>0.8</v>
      </c>
      <c r="C591" s="322">
        <v>13954457.167605281</v>
      </c>
      <c r="D591" s="322">
        <v>107397720.42411497</v>
      </c>
      <c r="E591" s="322">
        <v>30510099.897050906</v>
      </c>
      <c r="F591" s="69"/>
      <c r="G591" s="228">
        <v>0.04</v>
      </c>
      <c r="H591" s="202">
        <v>16687948.693355173</v>
      </c>
      <c r="I591" s="204">
        <v>33243591.42280082</v>
      </c>
      <c r="J591" s="204"/>
    </row>
    <row r="592" spans="2:10" x14ac:dyDescent="0.25">
      <c r="B592" s="341">
        <v>0.9</v>
      </c>
      <c r="C592" s="325">
        <v>15698764.313555941</v>
      </c>
      <c r="D592" s="320">
        <v>120822435.47712936</v>
      </c>
      <c r="E592" s="320">
        <v>45679122.09601593</v>
      </c>
      <c r="F592" s="69"/>
      <c r="G592" s="228">
        <v>0.05</v>
      </c>
      <c r="H592" s="202">
        <v>21340045.950965971</v>
      </c>
      <c r="I592" s="204">
        <v>37895688.6804116</v>
      </c>
      <c r="J592" s="204"/>
    </row>
    <row r="593" spans="2:13" x14ac:dyDescent="0.25">
      <c r="B593" s="341">
        <v>1</v>
      </c>
      <c r="C593" s="325">
        <v>17443071.459506605</v>
      </c>
      <c r="D593" s="320">
        <v>134247150.53014368</v>
      </c>
      <c r="E593" s="320">
        <v>60848144.294980966</v>
      </c>
      <c r="F593" s="69"/>
      <c r="G593" s="228">
        <v>0.09</v>
      </c>
      <c r="H593" s="202">
        <v>41193269.190006733</v>
      </c>
      <c r="I593" s="204">
        <v>57748911.919452362</v>
      </c>
      <c r="J593" s="190"/>
    </row>
    <row r="594" spans="2:13" x14ac:dyDescent="0.25">
      <c r="B594" s="229"/>
      <c r="C594" s="203"/>
      <c r="D594" s="202"/>
      <c r="E594" s="202"/>
      <c r="F594" s="69"/>
      <c r="G594" s="228"/>
      <c r="H594" s="203"/>
      <c r="I594" s="191"/>
      <c r="J594" s="190"/>
    </row>
    <row r="595" spans="2:13" x14ac:dyDescent="0.25">
      <c r="B595" s="310" t="s">
        <v>246</v>
      </c>
      <c r="C595" s="311"/>
      <c r="D595" s="311"/>
      <c r="E595" s="202"/>
      <c r="F595" s="69"/>
      <c r="G595" s="53" t="s">
        <v>268</v>
      </c>
      <c r="H595" s="69"/>
      <c r="J595" s="190"/>
    </row>
    <row r="596" spans="2:13" x14ac:dyDescent="0.25">
      <c r="B596" s="311"/>
      <c r="C596" s="319" t="s">
        <v>244</v>
      </c>
      <c r="D596" s="319" t="s">
        <v>90</v>
      </c>
      <c r="E596" s="202"/>
      <c r="F596" s="69"/>
      <c r="G596" s="69"/>
      <c r="H596" s="198" t="s">
        <v>118</v>
      </c>
      <c r="I596" s="198" t="s">
        <v>90</v>
      </c>
      <c r="K596" s="228"/>
      <c r="L596" s="203"/>
      <c r="M596" s="190"/>
    </row>
    <row r="597" spans="2:13" x14ac:dyDescent="0.25">
      <c r="B597" s="311"/>
      <c r="C597" s="312">
        <f>$D$532</f>
        <v>107397720.42411497</v>
      </c>
      <c r="D597" s="312">
        <f>$D$538</f>
        <v>30510099.897050906</v>
      </c>
      <c r="E597" s="202"/>
      <c r="F597" s="69"/>
      <c r="G597" s="69"/>
      <c r="H597" s="238">
        <f>$D$532</f>
        <v>107397720.42411497</v>
      </c>
      <c r="I597" s="238">
        <f>$D$538</f>
        <v>30510099.897050906</v>
      </c>
      <c r="K597" s="228"/>
      <c r="L597" s="203"/>
      <c r="M597" s="190"/>
    </row>
    <row r="598" spans="2:13" x14ac:dyDescent="0.25">
      <c r="B598" s="323">
        <v>3.4000000000000002E-2</v>
      </c>
      <c r="C598" s="320">
        <f t="dataTable" ref="C598:D603" dt2D="0" dtr="0" r1="H31" ca="1"/>
        <v>13336662.634022431</v>
      </c>
      <c r="D598" s="321">
        <v>-63550957.893041618</v>
      </c>
      <c r="E598" s="202"/>
      <c r="F598" s="69"/>
      <c r="G598" s="228">
        <v>0.08</v>
      </c>
      <c r="H598" s="202">
        <f t="dataTable" ref="H598:I603" dt2D="0" dtr="0" r1="H32" ca="1"/>
        <v>104708129.84950238</v>
      </c>
      <c r="I598" s="204">
        <v>27820509.322438303</v>
      </c>
      <c r="J598" s="191"/>
      <c r="K598" s="228"/>
      <c r="L598" s="203"/>
      <c r="M598" s="190"/>
    </row>
    <row r="599" spans="2:13" x14ac:dyDescent="0.25">
      <c r="B599" s="323">
        <v>7.0000000000000007E-2</v>
      </c>
      <c r="C599" s="320">
        <v>62674938.444209956</v>
      </c>
      <c r="D599" s="321">
        <v>-14212682.082854081</v>
      </c>
      <c r="E599" s="202"/>
      <c r="F599" s="69"/>
      <c r="G599" s="228">
        <v>0.1</v>
      </c>
      <c r="H599" s="202">
        <v>105380527.49315551</v>
      </c>
      <c r="I599" s="204">
        <v>28492906.96609145</v>
      </c>
      <c r="J599" s="191"/>
      <c r="K599" s="228"/>
      <c r="L599" s="203"/>
      <c r="M599" s="190"/>
    </row>
    <row r="600" spans="2:13" x14ac:dyDescent="0.25">
      <c r="B600" s="323">
        <v>0.09</v>
      </c>
      <c r="C600" s="320">
        <v>92113598.838428199</v>
      </c>
      <c r="D600" s="320">
        <v>15225978.311364152</v>
      </c>
      <c r="E600" s="202"/>
      <c r="F600" s="69"/>
      <c r="G600" s="228">
        <v>0.12</v>
      </c>
      <c r="H600" s="202">
        <v>106052925.13680866</v>
      </c>
      <c r="I600" s="204">
        <v>29165304.609744597</v>
      </c>
      <c r="J600" s="191"/>
      <c r="K600" s="228"/>
      <c r="L600" s="203"/>
      <c r="M600" s="190"/>
    </row>
    <row r="601" spans="2:13" x14ac:dyDescent="0.25">
      <c r="B601" s="324">
        <v>0.1</v>
      </c>
      <c r="C601" s="322">
        <v>107397720.42411497</v>
      </c>
      <c r="D601" s="322">
        <v>30510099.897050906</v>
      </c>
      <c r="E601" s="202"/>
      <c r="F601" s="69"/>
      <c r="G601" s="228">
        <v>0.14000000000000001</v>
      </c>
      <c r="H601" s="202">
        <v>106725322.78046182</v>
      </c>
      <c r="I601" s="204">
        <v>29837702.253397759</v>
      </c>
      <c r="J601" s="191"/>
      <c r="K601" s="228"/>
      <c r="L601" s="203"/>
      <c r="M601" s="190"/>
    </row>
    <row r="602" spans="2:13" x14ac:dyDescent="0.25">
      <c r="B602" s="323">
        <v>0.11</v>
      </c>
      <c r="C602" s="325">
        <v>123067181.09555694</v>
      </c>
      <c r="D602" s="320">
        <v>46179560.568492904</v>
      </c>
      <c r="E602" s="202"/>
      <c r="F602" s="69"/>
      <c r="G602" s="206">
        <v>0.16</v>
      </c>
      <c r="H602" s="199">
        <v>107397720.42411497</v>
      </c>
      <c r="I602" s="362">
        <v>30510099.897050906</v>
      </c>
      <c r="J602" s="346"/>
      <c r="K602" s="228"/>
      <c r="L602" s="203"/>
      <c r="M602" s="190"/>
    </row>
    <row r="603" spans="2:13" x14ac:dyDescent="0.25">
      <c r="B603" s="323">
        <v>0.13</v>
      </c>
      <c r="C603" s="325">
        <v>155588905.55510375</v>
      </c>
      <c r="D603" s="320">
        <v>78701285.028039694</v>
      </c>
      <c r="E603" s="202"/>
      <c r="F603" s="69"/>
      <c r="G603" s="228">
        <v>0.18</v>
      </c>
      <c r="H603" s="203">
        <v>108070118.06776813</v>
      </c>
      <c r="I603" s="204">
        <v>31182497.540704075</v>
      </c>
      <c r="J603" s="191"/>
      <c r="K603" s="228"/>
      <c r="L603" s="203"/>
      <c r="M603" s="190"/>
    </row>
    <row r="604" spans="2:13" x14ac:dyDescent="0.25">
      <c r="B604" s="228"/>
      <c r="C604" s="203"/>
      <c r="D604" s="190"/>
    </row>
    <row r="605" spans="2:13" x14ac:dyDescent="0.25">
      <c r="B605" s="310" t="s">
        <v>92</v>
      </c>
      <c r="C605" s="311"/>
      <c r="D605" s="311"/>
      <c r="E605" s="311"/>
      <c r="G605" s="1" t="s">
        <v>156</v>
      </c>
    </row>
    <row r="606" spans="2:13" x14ac:dyDescent="0.25">
      <c r="B606" s="311"/>
      <c r="C606" s="319" t="s">
        <v>89</v>
      </c>
      <c r="D606" s="319" t="s">
        <v>118</v>
      </c>
      <c r="E606" s="319" t="s">
        <v>90</v>
      </c>
      <c r="G606" s="238">
        <f>$D$538</f>
        <v>30510099.897050906</v>
      </c>
      <c r="H606" s="234">
        <v>0</v>
      </c>
      <c r="I606" s="235">
        <v>0.01</v>
      </c>
      <c r="J606" s="234">
        <v>1.4999999999999999E-2</v>
      </c>
      <c r="K606" s="234">
        <v>0.02</v>
      </c>
      <c r="L606" s="234">
        <v>2.5000000000000001E-2</v>
      </c>
    </row>
    <row r="607" spans="2:13" x14ac:dyDescent="0.25">
      <c r="B607" s="311"/>
      <c r="C607" s="312">
        <f>$D$531</f>
        <v>13954457.167605281</v>
      </c>
      <c r="D607" s="312">
        <f>$D$532</f>
        <v>107397720.42411497</v>
      </c>
      <c r="E607" s="312">
        <f>$D$538</f>
        <v>30510099.897050906</v>
      </c>
      <c r="G607" s="231">
        <v>-0.03</v>
      </c>
      <c r="H607" s="204">
        <f t="dataTable" ref="H607:L611" dt2D="1" dtr="1" r1="F45" r2="G48" ca="1"/>
        <v>45855616.28652291</v>
      </c>
      <c r="I607" s="204">
        <v>41782750.120445386</v>
      </c>
      <c r="J607" s="204">
        <v>39599347.95988217</v>
      </c>
      <c r="K607" s="204">
        <v>37310645.782093756</v>
      </c>
      <c r="L607" s="204">
        <v>34910748.395559445</v>
      </c>
    </row>
    <row r="608" spans="2:13" x14ac:dyDescent="0.25">
      <c r="B608" s="341">
        <v>0.08</v>
      </c>
      <c r="C608" s="320">
        <f t="dataTable" ref="C608:E614" dt2D="0" dtr="0" r1="D168" ca="1"/>
        <v>19937590.902612939</v>
      </c>
      <c r="D608" s="320">
        <v>152386401.86602333</v>
      </c>
      <c r="E608" s="320">
        <v>75708144.301528513</v>
      </c>
      <c r="G608" s="231">
        <v>-0.01</v>
      </c>
      <c r="H608" s="204">
        <v>38683724.584213063</v>
      </c>
      <c r="I608" s="204">
        <v>34610858.418135531</v>
      </c>
      <c r="J608" s="204">
        <v>32427456.257572345</v>
      </c>
      <c r="K608" s="204">
        <v>30138754.079783913</v>
      </c>
      <c r="L608" s="204">
        <v>27738856.693249594</v>
      </c>
    </row>
    <row r="609" spans="2:12" x14ac:dyDescent="0.25">
      <c r="B609" s="341">
        <v>0.1</v>
      </c>
      <c r="C609" s="320">
        <v>16606246.787798017</v>
      </c>
      <c r="D609" s="320">
        <v>127340581.63432851</v>
      </c>
      <c r="E609" s="320">
        <v>50318519.825609043</v>
      </c>
      <c r="G609" s="236">
        <v>0</v>
      </c>
      <c r="H609" s="204">
        <v>34582966.063128427</v>
      </c>
      <c r="I609" s="362">
        <v>30510099.897050906</v>
      </c>
      <c r="J609" s="204">
        <v>28326697.73648772</v>
      </c>
      <c r="K609" s="204">
        <v>26037995.55869931</v>
      </c>
      <c r="L609" s="204">
        <v>23638098.172165006</v>
      </c>
    </row>
    <row r="610" spans="2:12" x14ac:dyDescent="0.25">
      <c r="B610" s="342">
        <v>0.12</v>
      </c>
      <c r="C610" s="322">
        <v>13954457.167605281</v>
      </c>
      <c r="D610" s="322">
        <v>107397720.42411497</v>
      </c>
      <c r="E610" s="322">
        <v>30510099.897050906</v>
      </c>
      <c r="G610" s="231">
        <v>0.01</v>
      </c>
      <c r="H610" s="204">
        <v>30086701.32424318</v>
      </c>
      <c r="I610" s="204">
        <v>26013835.158165626</v>
      </c>
      <c r="J610" s="204">
        <v>23830432.997602433</v>
      </c>
      <c r="K610" s="204">
        <v>21541730.819814026</v>
      </c>
      <c r="L610" s="204">
        <v>19141833.433279701</v>
      </c>
    </row>
    <row r="611" spans="2:12" x14ac:dyDescent="0.25">
      <c r="B611" s="341">
        <v>0.14000000000000001</v>
      </c>
      <c r="C611" s="320">
        <v>11821209.213720718</v>
      </c>
      <c r="D611" s="320">
        <v>91349846.559496611</v>
      </c>
      <c r="E611" s="320">
        <v>14931609.063514117</v>
      </c>
      <c r="G611" s="228">
        <v>0.03</v>
      </c>
      <c r="H611" s="204">
        <v>19721450.121214695</v>
      </c>
      <c r="I611" s="204">
        <v>15648583.955137182</v>
      </c>
      <c r="J611" s="204">
        <v>13465181.794573959</v>
      </c>
      <c r="K611" s="204">
        <v>11176479.616785556</v>
      </c>
      <c r="L611" s="204">
        <v>8776582.2302512303</v>
      </c>
    </row>
    <row r="612" spans="2:12" x14ac:dyDescent="0.25">
      <c r="B612" s="341">
        <v>0.16</v>
      </c>
      <c r="C612" s="320">
        <v>10087815.222931731</v>
      </c>
      <c r="D612" s="320">
        <v>78306263.734735727</v>
      </c>
      <c r="E612" s="320">
        <v>2589493.5087354667</v>
      </c>
      <c r="H612" s="191"/>
      <c r="I612" s="191"/>
      <c r="J612" s="191"/>
      <c r="K612" s="191"/>
      <c r="L612" s="191"/>
    </row>
    <row r="613" spans="2:12" x14ac:dyDescent="0.25">
      <c r="B613" s="341">
        <v>0.17</v>
      </c>
      <c r="C613" s="320">
        <v>9342510.0120707154</v>
      </c>
      <c r="D613" s="320">
        <v>72696745.177775651</v>
      </c>
      <c r="E613" s="321">
        <v>-2606322.6706390716</v>
      </c>
      <c r="H613" s="191"/>
      <c r="I613" s="191"/>
      <c r="J613" s="191"/>
      <c r="K613" s="191"/>
      <c r="L613" s="191"/>
    </row>
    <row r="614" spans="2:12" x14ac:dyDescent="0.25">
      <c r="B614" s="341">
        <v>0.2</v>
      </c>
      <c r="C614" s="320">
        <v>7488995.6304121818</v>
      </c>
      <c r="D614" s="320">
        <v>58742647.771473065</v>
      </c>
      <c r="E614" s="321">
        <v>-15151250.650824292</v>
      </c>
      <c r="F614" s="69"/>
      <c r="H614" s="225"/>
      <c r="I614" s="225"/>
      <c r="J614" s="225"/>
      <c r="K614" s="191"/>
      <c r="L614" s="191"/>
    </row>
    <row r="615" spans="2:12" x14ac:dyDescent="0.25">
      <c r="B615" s="69"/>
      <c r="C615" s="69"/>
      <c r="D615" s="69"/>
      <c r="E615" s="69"/>
      <c r="F615" s="69"/>
      <c r="G615" s="69"/>
      <c r="H615" s="69"/>
      <c r="I615" s="69"/>
      <c r="J615" s="69"/>
    </row>
    <row r="616" spans="2:12" x14ac:dyDescent="0.25">
      <c r="B616" s="53" t="s">
        <v>157</v>
      </c>
      <c r="C616" s="69"/>
      <c r="D616" s="69"/>
      <c r="E616" s="69"/>
      <c r="F616" s="69"/>
      <c r="G616" s="53" t="s">
        <v>158</v>
      </c>
      <c r="H616" s="69"/>
      <c r="I616" s="69"/>
      <c r="J616" s="69"/>
    </row>
    <row r="617" spans="2:12" x14ac:dyDescent="0.25">
      <c r="B617" s="69"/>
      <c r="C617" s="239" t="s">
        <v>89</v>
      </c>
      <c r="D617" s="239" t="s">
        <v>118</v>
      </c>
      <c r="E617" s="239" t="s">
        <v>90</v>
      </c>
      <c r="F617" s="69"/>
      <c r="G617" s="69"/>
      <c r="H617" s="198" t="s">
        <v>89</v>
      </c>
      <c r="I617" s="198" t="s">
        <v>118</v>
      </c>
      <c r="J617" s="198" t="s">
        <v>90</v>
      </c>
    </row>
    <row r="618" spans="2:12" x14ac:dyDescent="0.25">
      <c r="B618" s="69"/>
      <c r="C618" s="238">
        <f>$D$531</f>
        <v>13954457.167605281</v>
      </c>
      <c r="D618" s="238">
        <f>$D$532</f>
        <v>107397720.42411497</v>
      </c>
      <c r="E618" s="238">
        <f>$D$538</f>
        <v>30510099.897050906</v>
      </c>
      <c r="F618" s="69"/>
      <c r="G618" s="69"/>
      <c r="H618" s="238">
        <f>$D$531</f>
        <v>13954457.167605281</v>
      </c>
      <c r="I618" s="238">
        <f>$D$532</f>
        <v>107397720.42411497</v>
      </c>
      <c r="J618" s="238">
        <f>$D$538</f>
        <v>30510099.897050906</v>
      </c>
    </row>
    <row r="619" spans="2:12" x14ac:dyDescent="0.25">
      <c r="B619" s="232">
        <v>0.1</v>
      </c>
      <c r="C619" s="202">
        <f t="dataTable" ref="C619:E623" dt2D="0" dtr="0" r1="F24" ca="1"/>
        <v>15710322.266230538</v>
      </c>
      <c r="D619" s="202">
        <v>112343792.5438287</v>
      </c>
      <c r="E619" s="202">
        <v>37212037.115389869</v>
      </c>
      <c r="F619" s="69"/>
      <c r="G619" s="326">
        <v>0</v>
      </c>
      <c r="H619" s="202">
        <f t="dataTable" ref="H619:J623" dt2D="0" dtr="0" r1="H24" ca="1"/>
        <v>13830641.837773738</v>
      </c>
      <c r="I619" s="202">
        <v>106930164.99667728</v>
      </c>
      <c r="J619" s="202">
        <v>29918729.139781658</v>
      </c>
    </row>
    <row r="620" spans="2:12" x14ac:dyDescent="0.25">
      <c r="B620" s="205">
        <v>0.3</v>
      </c>
      <c r="C620" s="199">
        <v>13954457.167605281</v>
      </c>
      <c r="D620" s="199">
        <v>107397720.42411497</v>
      </c>
      <c r="E620" s="199">
        <v>30510099.897050906</v>
      </c>
      <c r="F620" s="69"/>
      <c r="G620" s="327">
        <v>0.1</v>
      </c>
      <c r="H620" s="199">
        <v>13954457.167605281</v>
      </c>
      <c r="I620" s="199">
        <v>107397720.42411497</v>
      </c>
      <c r="J620" s="199">
        <v>30510099.897050906</v>
      </c>
    </row>
    <row r="621" spans="2:12" x14ac:dyDescent="0.25">
      <c r="B621" s="232">
        <v>0.5</v>
      </c>
      <c r="C621" s="202">
        <v>12198592.06898001</v>
      </c>
      <c r="D621" s="202">
        <v>102451648.30440128</v>
      </c>
      <c r="E621" s="202">
        <v>23808162.678711969</v>
      </c>
      <c r="F621" s="69"/>
      <c r="G621" s="326">
        <v>0.2</v>
      </c>
      <c r="H621" s="202">
        <v>14078272.497436816</v>
      </c>
      <c r="I621" s="202">
        <v>107865275.85155264</v>
      </c>
      <c r="J621" s="202">
        <v>31101470.654320095</v>
      </c>
    </row>
    <row r="622" spans="2:12" x14ac:dyDescent="0.25">
      <c r="B622" s="232">
        <v>0.7</v>
      </c>
      <c r="C622" s="202">
        <v>10442726.970354738</v>
      </c>
      <c r="D622" s="202">
        <v>97505576.184687614</v>
      </c>
      <c r="E622" s="202">
        <v>17106225.460373025</v>
      </c>
      <c r="F622" s="69"/>
      <c r="G622" s="326">
        <v>0.3</v>
      </c>
      <c r="H622" s="202">
        <v>14202087.827268356</v>
      </c>
      <c r="I622" s="202">
        <v>108332831.27899033</v>
      </c>
      <c r="J622" s="202">
        <v>31692841.411589336</v>
      </c>
    </row>
    <row r="623" spans="2:12" x14ac:dyDescent="0.25">
      <c r="B623" s="232">
        <v>1</v>
      </c>
      <c r="C623" s="202">
        <v>7808929.3224168532</v>
      </c>
      <c r="D623" s="202">
        <v>90086468.005117029</v>
      </c>
      <c r="E623" s="202">
        <v>7053319.6328645684</v>
      </c>
      <c r="F623" s="69"/>
      <c r="G623" s="326">
        <v>0.4</v>
      </c>
      <c r="H623" s="202">
        <v>14325903.157099899</v>
      </c>
      <c r="I623" s="202">
        <v>108800386.70642802</v>
      </c>
      <c r="J623" s="202">
        <v>32284212.168858591</v>
      </c>
    </row>
    <row r="624" spans="2:12" s="69" customFormat="1" x14ac:dyDescent="0.25">
      <c r="B624" s="205"/>
      <c r="C624" s="202"/>
      <c r="D624" s="202"/>
      <c r="E624" s="202"/>
      <c r="G624" s="206"/>
      <c r="H624" s="203"/>
      <c r="I624" s="202"/>
      <c r="J624" s="202"/>
    </row>
    <row r="625" spans="2:12" s="69" customFormat="1" x14ac:dyDescent="0.25">
      <c r="B625" s="205" t="s">
        <v>159</v>
      </c>
      <c r="C625" s="202"/>
      <c r="D625" s="202"/>
      <c r="E625" s="202"/>
      <c r="G625" s="206" t="s">
        <v>160</v>
      </c>
      <c r="H625" s="203"/>
      <c r="I625" s="202"/>
      <c r="J625" s="202"/>
    </row>
    <row r="626" spans="2:12" s="69" customFormat="1" x14ac:dyDescent="0.25">
      <c r="B626" s="205"/>
      <c r="C626" s="198" t="s">
        <v>89</v>
      </c>
      <c r="D626" s="198" t="s">
        <v>118</v>
      </c>
      <c r="E626" s="198" t="s">
        <v>90</v>
      </c>
      <c r="G626" s="206"/>
      <c r="H626" s="198" t="s">
        <v>89</v>
      </c>
      <c r="I626" s="198" t="s">
        <v>118</v>
      </c>
      <c r="J626" s="198" t="s">
        <v>90</v>
      </c>
    </row>
    <row r="627" spans="2:12" s="69" customFormat="1" x14ac:dyDescent="0.25">
      <c r="B627" s="205"/>
      <c r="C627" s="238">
        <f>$D$531</f>
        <v>13954457.167605281</v>
      </c>
      <c r="D627" s="238">
        <f>$D$532</f>
        <v>107397720.42411497</v>
      </c>
      <c r="E627" s="238">
        <f>$D$538</f>
        <v>30510099.897050906</v>
      </c>
      <c r="G627" s="207"/>
      <c r="H627" s="238">
        <f>$D$531</f>
        <v>13954457.167605281</v>
      </c>
      <c r="I627" s="238">
        <f>$D$532</f>
        <v>107397720.42411497</v>
      </c>
      <c r="J627" s="238">
        <f>$D$538</f>
        <v>30510099.897050906</v>
      </c>
    </row>
    <row r="628" spans="2:12" s="69" customFormat="1" x14ac:dyDescent="0.25">
      <c r="B628" s="233">
        <v>1</v>
      </c>
      <c r="C628" s="202">
        <f t="dataTable" ref="C628:E633" dt2D="0" dtr="0" r1="F22" ca="1"/>
        <v>16588254.815543173</v>
      </c>
      <c r="D628" s="202">
        <v>114816828.60368551</v>
      </c>
      <c r="E628" s="202">
        <v>40563005.724559337</v>
      </c>
      <c r="G628" s="233">
        <v>1</v>
      </c>
      <c r="H628" s="202">
        <f t="dataTable" ref="H628:J633" dt2D="0" dtr="0" r1="H22" ca="1"/>
        <v>13830641.83777374</v>
      </c>
      <c r="I628" s="202">
        <v>106930164.99667731</v>
      </c>
      <c r="J628" s="202">
        <v>29918729.139781725</v>
      </c>
    </row>
    <row r="629" spans="2:12" s="69" customFormat="1" x14ac:dyDescent="0.25">
      <c r="B629" s="207">
        <v>1.1000000000000001</v>
      </c>
      <c r="C629" s="199">
        <v>13954457.167605281</v>
      </c>
      <c r="D629" s="199">
        <v>107397720.42411497</v>
      </c>
      <c r="E629" s="199">
        <v>30510099.897050906</v>
      </c>
      <c r="G629" s="207">
        <v>1.01</v>
      </c>
      <c r="H629" s="199">
        <v>13954457.167605281</v>
      </c>
      <c r="I629" s="199">
        <v>107397720.42411497</v>
      </c>
      <c r="J629" s="199">
        <v>30510099.897050906</v>
      </c>
    </row>
    <row r="630" spans="2:12" s="69" customFormat="1" x14ac:dyDescent="0.25">
      <c r="B630" s="233">
        <v>1.1499999999999999</v>
      </c>
      <c r="C630" s="202">
        <v>12637558.343636325</v>
      </c>
      <c r="D630" s="202">
        <v>103688166.33432969</v>
      </c>
      <c r="E630" s="202">
        <v>25483646.983296707</v>
      </c>
      <c r="G630" s="233">
        <v>1.05</v>
      </c>
      <c r="H630" s="203">
        <v>14449718.486931462</v>
      </c>
      <c r="I630" s="202">
        <v>109267942.13386586</v>
      </c>
      <c r="J630" s="202">
        <v>32875582.926127959</v>
      </c>
    </row>
    <row r="631" spans="2:12" s="69" customFormat="1" x14ac:dyDescent="0.25">
      <c r="B631" s="233">
        <v>1.2</v>
      </c>
      <c r="C631" s="202">
        <v>11320659.519667393</v>
      </c>
      <c r="D631" s="202">
        <v>99978612.244544461</v>
      </c>
      <c r="E631" s="202">
        <v>20457194.069542553</v>
      </c>
      <c r="G631" s="233">
        <v>1.1000000000000001</v>
      </c>
      <c r="H631" s="203">
        <v>17545101.732720084</v>
      </c>
      <c r="I631" s="202">
        <v>120956827.8198083</v>
      </c>
      <c r="J631" s="202">
        <v>47659851.857859015</v>
      </c>
    </row>
    <row r="632" spans="2:12" s="69" customFormat="1" x14ac:dyDescent="0.25">
      <c r="B632" s="233">
        <v>1.25</v>
      </c>
      <c r="C632" s="202">
        <v>10003760.69569844</v>
      </c>
      <c r="D632" s="202">
        <v>96269058.154759184</v>
      </c>
      <c r="E632" s="202">
        <v>15430741.155788288</v>
      </c>
      <c r="G632" s="233">
        <v>1.1499999999999999</v>
      </c>
      <c r="H632" s="203">
        <v>19402331.680193268</v>
      </c>
      <c r="I632" s="202">
        <v>127970159.23137379</v>
      </c>
      <c r="J632" s="202">
        <v>56530413.216897726</v>
      </c>
    </row>
    <row r="633" spans="2:12" x14ac:dyDescent="0.25">
      <c r="B633" s="233">
        <v>1.3</v>
      </c>
      <c r="C633" s="200">
        <v>3419266.5758537124</v>
      </c>
      <c r="D633" s="200">
        <v>77721287.705832899</v>
      </c>
      <c r="E633" s="214">
        <v>-9701523.412982747</v>
      </c>
      <c r="F633" s="69"/>
      <c r="G633" s="233">
        <v>1.2</v>
      </c>
      <c r="H633" s="201">
        <v>21259561.627666458</v>
      </c>
      <c r="I633" s="201">
        <v>134983490.64293933</v>
      </c>
      <c r="J633" s="201">
        <v>65400974.575936392</v>
      </c>
    </row>
    <row r="634" spans="2:12" s="69" customFormat="1" x14ac:dyDescent="0.25">
      <c r="B634" s="207"/>
      <c r="C634" s="208"/>
      <c r="D634" s="201"/>
      <c r="E634" s="201"/>
      <c r="G634" s="209"/>
    </row>
    <row r="635" spans="2:12" s="69" customFormat="1" x14ac:dyDescent="0.25">
      <c r="B635" s="207" t="s">
        <v>161</v>
      </c>
      <c r="C635" s="208"/>
      <c r="D635" s="201"/>
      <c r="E635" s="201"/>
      <c r="G635" s="209"/>
      <c r="I635" s="310" t="s">
        <v>247</v>
      </c>
      <c r="J635" s="311"/>
      <c r="K635" s="311"/>
      <c r="L635" s="311"/>
    </row>
    <row r="636" spans="2:12" s="69" customFormat="1" x14ac:dyDescent="0.25">
      <c r="B636" s="238">
        <f>$D$531</f>
        <v>13954457.167605281</v>
      </c>
      <c r="C636" s="328">
        <v>1</v>
      </c>
      <c r="D636" s="329">
        <v>1.01</v>
      </c>
      <c r="E636" s="330">
        <v>1.05</v>
      </c>
      <c r="F636" s="331">
        <v>1.1000000000000001</v>
      </c>
      <c r="G636" s="331">
        <v>1.1499999999999999</v>
      </c>
      <c r="I636" s="311"/>
      <c r="J636" s="319" t="s">
        <v>89</v>
      </c>
      <c r="K636" s="319" t="s">
        <v>118</v>
      </c>
      <c r="L636" s="319" t="s">
        <v>90</v>
      </c>
    </row>
    <row r="637" spans="2:12" s="69" customFormat="1" x14ac:dyDescent="0.25">
      <c r="B637" s="233">
        <v>1</v>
      </c>
      <c r="C637" s="200">
        <f t="dataTable" ref="C637:G642" dt2D="1" dtr="1" r1="H22" r2="F22" ca="1"/>
        <v>16464439.485711629</v>
      </c>
      <c r="D637" s="200">
        <v>16588254.815543173</v>
      </c>
      <c r="E637" s="200">
        <v>17083516.134869352</v>
      </c>
      <c r="F637" s="200">
        <v>20178899.380657975</v>
      </c>
      <c r="G637" s="200">
        <v>22036129.328131158</v>
      </c>
      <c r="I637" s="311"/>
      <c r="J637" s="312">
        <f>$D$531</f>
        <v>13954457.167605281</v>
      </c>
      <c r="K637" s="312">
        <f>$D$532</f>
        <v>107397720.42411497</v>
      </c>
      <c r="L637" s="312">
        <f>$D$538</f>
        <v>30510099.897050906</v>
      </c>
    </row>
    <row r="638" spans="2:12" s="69" customFormat="1" x14ac:dyDescent="0.25">
      <c r="B638" s="207">
        <v>1.1000000000000001</v>
      </c>
      <c r="C638" s="200">
        <v>13830641.83777374</v>
      </c>
      <c r="D638" s="230">
        <v>13954457.167605281</v>
      </c>
      <c r="E638" s="200">
        <v>14449718.486931462</v>
      </c>
      <c r="F638" s="200">
        <v>17545101.732720084</v>
      </c>
      <c r="G638" s="200">
        <v>19402331.680193268</v>
      </c>
      <c r="I638" s="323">
        <v>-0.03</v>
      </c>
      <c r="J638" s="320">
        <f t="dataTable" ref="J638:L642" dt2D="0" dtr="0" r1="G49" ca="1"/>
        <v>7160360.4077031743</v>
      </c>
      <c r="K638" s="320">
        <v>63469902.554556668</v>
      </c>
      <c r="L638" s="321">
        <v>-20211814.732409481</v>
      </c>
    </row>
    <row r="639" spans="2:12" s="69" customFormat="1" x14ac:dyDescent="0.25">
      <c r="B639" s="233">
        <v>1.1499999999999999</v>
      </c>
      <c r="C639" s="200">
        <v>12513743.013804788</v>
      </c>
      <c r="D639" s="200">
        <v>12637558.343636325</v>
      </c>
      <c r="E639" s="200">
        <v>13132819.662962509</v>
      </c>
      <c r="F639" s="200">
        <v>16228202.908751132</v>
      </c>
      <c r="G639" s="200">
        <v>18085432.856224313</v>
      </c>
      <c r="I639" s="323">
        <v>-0.01</v>
      </c>
      <c r="J639" s="320">
        <v>11475400.847840467</v>
      </c>
      <c r="K639" s="320">
        <v>91358478.12757279</v>
      </c>
      <c r="L639" s="320">
        <v>11991801.280743916</v>
      </c>
    </row>
    <row r="640" spans="2:12" s="69" customFormat="1" x14ac:dyDescent="0.25">
      <c r="B640" s="233">
        <v>1.2</v>
      </c>
      <c r="C640" s="200">
        <v>11196844.189835852</v>
      </c>
      <c r="D640" s="200">
        <v>11320659.519667393</v>
      </c>
      <c r="E640" s="200">
        <v>11815920.838993574</v>
      </c>
      <c r="F640" s="200">
        <v>14911304.084782198</v>
      </c>
      <c r="G640" s="200">
        <v>16768534.032255379</v>
      </c>
      <c r="I640" s="324">
        <v>0</v>
      </c>
      <c r="J640" s="322">
        <v>13954457.167605281</v>
      </c>
      <c r="K640" s="322">
        <v>107397720.42411497</v>
      </c>
      <c r="L640" s="322">
        <v>30510099.897050906</v>
      </c>
    </row>
    <row r="641" spans="1:15" s="69" customFormat="1" x14ac:dyDescent="0.25">
      <c r="B641" s="233">
        <v>1.25</v>
      </c>
      <c r="C641" s="200">
        <v>9879945.3658668976</v>
      </c>
      <c r="D641" s="200">
        <v>10003760.69569844</v>
      </c>
      <c r="E641" s="200">
        <v>10499022.015024621</v>
      </c>
      <c r="F641" s="200">
        <v>13594405.26081324</v>
      </c>
      <c r="G641" s="200">
        <v>15451635.208286425</v>
      </c>
      <c r="I641" s="323">
        <v>0.01</v>
      </c>
      <c r="J641" s="320">
        <v>16680714.617238898</v>
      </c>
      <c r="K641" s="320">
        <v>125047958.40853864</v>
      </c>
      <c r="L641" s="320">
        <v>50886595.331108227</v>
      </c>
    </row>
    <row r="642" spans="1:15" s="69" customFormat="1" x14ac:dyDescent="0.25">
      <c r="B642" s="233">
        <v>3</v>
      </c>
      <c r="C642" s="214">
        <v>-71328815.445551395</v>
      </c>
      <c r="D642" s="214">
        <v>-71205000.115719855</v>
      </c>
      <c r="E642" s="214">
        <v>-70709738.796393678</v>
      </c>
      <c r="F642" s="214">
        <v>-65138048.95397412</v>
      </c>
      <c r="G642" s="214">
        <v>-62042665.708185472</v>
      </c>
      <c r="I642" s="323">
        <v>0.03</v>
      </c>
      <c r="J642" s="320">
        <v>22991844.089818642</v>
      </c>
      <c r="K642" s="320">
        <v>165945181.32401165</v>
      </c>
      <c r="L642" s="320">
        <v>98094947.719160944</v>
      </c>
    </row>
    <row r="643" spans="1:15" s="69" customFormat="1" x14ac:dyDescent="0.25">
      <c r="B643" s="207"/>
      <c r="C643" s="208"/>
      <c r="D643" s="201"/>
      <c r="E643" s="201"/>
      <c r="G643" s="209"/>
    </row>
    <row r="644" spans="1:15" s="69" customFormat="1" ht="24.75" customHeight="1" x14ac:dyDescent="0.4">
      <c r="A644" s="53"/>
      <c r="B644" s="150" t="s">
        <v>93</v>
      </c>
      <c r="C644" s="151"/>
      <c r="D644" s="152"/>
      <c r="E644" s="152"/>
      <c r="F644" s="152"/>
      <c r="G644" s="152"/>
      <c r="H644" s="152"/>
      <c r="I644" s="153"/>
      <c r="J644" s="153"/>
      <c r="K644" s="153"/>
      <c r="L644" s="153"/>
      <c r="M644" s="153"/>
      <c r="N644" s="153"/>
      <c r="O644" s="153"/>
    </row>
    <row r="645" spans="1:15" ht="15.75" thickBot="1" x14ac:dyDescent="0.3"/>
    <row r="646" spans="1:15" x14ac:dyDescent="0.25">
      <c r="B646" s="167" t="s">
        <v>94</v>
      </c>
      <c r="C646" s="168"/>
      <c r="D646" s="168"/>
      <c r="E646" s="169"/>
    </row>
    <row r="647" spans="1:15" x14ac:dyDescent="0.25">
      <c r="B647" s="170" t="s">
        <v>104</v>
      </c>
      <c r="C647" s="2"/>
      <c r="D647" s="2"/>
      <c r="E647" s="15"/>
    </row>
    <row r="648" spans="1:15" ht="15.75" thickBot="1" x14ac:dyDescent="0.3">
      <c r="B648" s="171" t="s">
        <v>95</v>
      </c>
      <c r="C648" s="12"/>
      <c r="D648" s="12"/>
      <c r="E648" s="13"/>
    </row>
    <row r="649" spans="1:15" ht="15.75" thickBot="1" x14ac:dyDescent="0.3">
      <c r="B649" s="19"/>
    </row>
    <row r="650" spans="1:15" x14ac:dyDescent="0.25">
      <c r="B650" s="167" t="s">
        <v>96</v>
      </c>
      <c r="C650" s="168"/>
      <c r="D650" s="168"/>
      <c r="E650" s="172">
        <f>D187/2</f>
        <v>13642453</v>
      </c>
    </row>
    <row r="651" spans="1:15" x14ac:dyDescent="0.25">
      <c r="B651" s="170" t="s">
        <v>97</v>
      </c>
      <c r="C651" s="2"/>
      <c r="D651" s="2"/>
      <c r="E651" s="173">
        <f>D538/D171</f>
        <v>3906542.8805442904</v>
      </c>
    </row>
    <row r="652" spans="1:15" ht="15.75" thickBot="1" x14ac:dyDescent="0.3">
      <c r="B652" s="174" t="s">
        <v>98</v>
      </c>
      <c r="C652" s="12"/>
      <c r="D652" s="12"/>
      <c r="E652" s="175">
        <f>D539</f>
        <v>0.16484357262435045</v>
      </c>
    </row>
    <row r="653" spans="1:15" ht="15.75" thickBot="1" x14ac:dyDescent="0.3">
      <c r="B653" s="19"/>
    </row>
    <row r="654" spans="1:15" x14ac:dyDescent="0.25">
      <c r="B654" s="176" t="s">
        <v>99</v>
      </c>
      <c r="C654" s="168"/>
      <c r="D654" s="168"/>
      <c r="E654" s="168"/>
      <c r="F654" s="168"/>
      <c r="G654" s="168"/>
      <c r="H654" s="168"/>
      <c r="I654" s="9"/>
    </row>
    <row r="655" spans="1:15" ht="13.5" customHeight="1" x14ac:dyDescent="0.25">
      <c r="B655" s="364" t="s">
        <v>254</v>
      </c>
      <c r="C655" s="365"/>
      <c r="D655" s="365"/>
      <c r="E655" s="365"/>
      <c r="F655" s="365"/>
      <c r="G655" s="365"/>
      <c r="H655" s="366"/>
      <c r="I655" s="266"/>
    </row>
    <row r="656" spans="1:15" ht="13.5" customHeight="1" x14ac:dyDescent="0.25">
      <c r="B656" s="364"/>
      <c r="C656" s="365"/>
      <c r="D656" s="365"/>
      <c r="E656" s="365"/>
      <c r="F656" s="365"/>
      <c r="G656" s="365"/>
      <c r="H656" s="366"/>
      <c r="I656" s="266"/>
    </row>
    <row r="657" spans="2:9" ht="18" customHeight="1" x14ac:dyDescent="0.25">
      <c r="B657" s="367"/>
      <c r="C657" s="365"/>
      <c r="D657" s="365"/>
      <c r="E657" s="365"/>
      <c r="F657" s="365"/>
      <c r="G657" s="365"/>
      <c r="H657" s="366"/>
      <c r="I657" s="266"/>
    </row>
    <row r="658" spans="2:9" ht="18" customHeight="1" x14ac:dyDescent="0.25">
      <c r="B658" s="367"/>
      <c r="C658" s="365"/>
      <c r="D658" s="365"/>
      <c r="E658" s="365"/>
      <c r="F658" s="365"/>
      <c r="G658" s="365"/>
      <c r="H658" s="366"/>
      <c r="I658" s="266"/>
    </row>
    <row r="659" spans="2:9" ht="18" customHeight="1" thickBot="1" x14ac:dyDescent="0.3">
      <c r="B659" s="368"/>
      <c r="C659" s="369"/>
      <c r="D659" s="369"/>
      <c r="E659" s="369"/>
      <c r="F659" s="369"/>
      <c r="G659" s="369"/>
      <c r="H659" s="370"/>
      <c r="I659" s="266"/>
    </row>
    <row r="660" spans="2:9" ht="15.75" thickBot="1" x14ac:dyDescent="0.3">
      <c r="B660" s="19"/>
    </row>
    <row r="661" spans="2:9" x14ac:dyDescent="0.25">
      <c r="B661" s="177"/>
      <c r="C661" s="168"/>
      <c r="D661" s="168"/>
      <c r="E661" s="168"/>
      <c r="F661" s="168"/>
      <c r="G661" s="168"/>
      <c r="H661" s="168"/>
      <c r="I661" s="9"/>
    </row>
    <row r="662" spans="2:9" x14ac:dyDescent="0.25">
      <c r="B662" s="170" t="s">
        <v>252</v>
      </c>
      <c r="C662" s="2"/>
      <c r="D662" s="179">
        <f>H8*H12*H41</f>
        <v>38976</v>
      </c>
      <c r="E662" s="2"/>
      <c r="F662" s="2"/>
      <c r="G662" s="334" t="s">
        <v>248</v>
      </c>
      <c r="I662" s="336"/>
    </row>
    <row r="663" spans="2:9" ht="64.5" x14ac:dyDescent="0.25">
      <c r="B663" s="178"/>
      <c r="C663" s="2"/>
      <c r="D663" s="2"/>
      <c r="E663" s="338"/>
      <c r="F663" s="335" t="s">
        <v>249</v>
      </c>
      <c r="G663" s="335" t="s">
        <v>250</v>
      </c>
      <c r="H663" s="335" t="s">
        <v>251</v>
      </c>
      <c r="I663" s="337"/>
    </row>
    <row r="664" spans="2:9" x14ac:dyDescent="0.25">
      <c r="B664" s="170" t="s">
        <v>100</v>
      </c>
      <c r="C664" s="2"/>
      <c r="D664" s="2"/>
      <c r="E664" s="180"/>
      <c r="F664" s="181">
        <f>D662*0.19</f>
        <v>7405.4400000000005</v>
      </c>
      <c r="G664" s="181">
        <f>D662*(0.49)</f>
        <v>19098.239999999998</v>
      </c>
      <c r="H664" s="339">
        <f>D662-F664-G664</f>
        <v>12472.32</v>
      </c>
      <c r="I664" s="240"/>
    </row>
    <row r="665" spans="2:9" x14ac:dyDescent="0.25">
      <c r="B665" s="170"/>
      <c r="C665" s="2"/>
      <c r="D665" s="2"/>
      <c r="E665" s="180"/>
      <c r="F665" s="183">
        <f>F664/D662</f>
        <v>0.19</v>
      </c>
      <c r="G665" s="183">
        <f>G664/D662</f>
        <v>0.48999999999999994</v>
      </c>
      <c r="H665" s="183">
        <f>H664/D662</f>
        <v>0.32</v>
      </c>
      <c r="I665" s="240"/>
    </row>
    <row r="666" spans="2:9" x14ac:dyDescent="0.25">
      <c r="B666" s="170"/>
      <c r="C666" s="2"/>
      <c r="D666" s="2"/>
      <c r="E666" s="180"/>
      <c r="F666" s="183"/>
      <c r="G666" s="183"/>
      <c r="H666" s="180"/>
      <c r="I666" s="240"/>
    </row>
    <row r="667" spans="2:9" x14ac:dyDescent="0.25">
      <c r="B667" s="170"/>
      <c r="C667" s="2"/>
      <c r="D667" s="2"/>
      <c r="F667" s="210" t="s">
        <v>101</v>
      </c>
      <c r="G667" s="210" t="s">
        <v>102</v>
      </c>
      <c r="H667" s="180"/>
      <c r="I667" s="240"/>
    </row>
    <row r="668" spans="2:9" x14ac:dyDescent="0.25">
      <c r="B668" s="170" t="s">
        <v>103</v>
      </c>
      <c r="C668" s="2"/>
      <c r="D668" s="2"/>
      <c r="F668" s="163">
        <f>D662*0.5163</f>
        <v>20123.308799999999</v>
      </c>
      <c r="G668" s="182">
        <f>D662*(1-0.5163)</f>
        <v>18852.691200000001</v>
      </c>
      <c r="H668" s="180"/>
      <c r="I668" s="240"/>
    </row>
    <row r="669" spans="2:9" x14ac:dyDescent="0.25">
      <c r="B669" s="170"/>
      <c r="C669" s="2"/>
      <c r="D669" s="2"/>
      <c r="F669" s="211">
        <f>F668/D662</f>
        <v>0.51629999999999998</v>
      </c>
      <c r="G669" s="212">
        <f>G668/D662</f>
        <v>0.48370000000000002</v>
      </c>
      <c r="H669" s="180"/>
      <c r="I669" s="240"/>
    </row>
    <row r="670" spans="2:9" x14ac:dyDescent="0.25">
      <c r="B670" s="178"/>
      <c r="C670" s="2"/>
      <c r="D670" s="2"/>
      <c r="F670" s="183"/>
      <c r="G670" s="183"/>
      <c r="H670" s="180"/>
      <c r="I670" s="240"/>
    </row>
    <row r="671" spans="2:9" x14ac:dyDescent="0.25">
      <c r="B671" s="9"/>
      <c r="C671" s="2"/>
      <c r="D671" s="2"/>
      <c r="F671" s="210" t="s">
        <v>109</v>
      </c>
      <c r="G671" s="210" t="s">
        <v>110</v>
      </c>
      <c r="H671" s="2"/>
      <c r="I671" s="9"/>
    </row>
    <row r="672" spans="2:9" x14ac:dyDescent="0.25">
      <c r="B672" s="170" t="s">
        <v>253</v>
      </c>
      <c r="C672" s="2"/>
      <c r="D672" s="2"/>
      <c r="F672" s="63">
        <f>D662*0.5253</f>
        <v>20474.092799999999</v>
      </c>
      <c r="G672" s="182">
        <f>D662*(1-0.5253)</f>
        <v>18501.907200000001</v>
      </c>
      <c r="H672" s="2"/>
      <c r="I672" s="9"/>
    </row>
    <row r="673" spans="2:9" x14ac:dyDescent="0.25">
      <c r="B673" s="170"/>
      <c r="C673" s="2"/>
      <c r="D673" s="2"/>
      <c r="F673" s="213">
        <f>F672/D662</f>
        <v>0.52529999999999999</v>
      </c>
      <c r="G673" s="212">
        <f>G672/D662</f>
        <v>0.47470000000000001</v>
      </c>
      <c r="H673" s="2"/>
      <c r="I673" s="9"/>
    </row>
    <row r="674" spans="2:9" ht="15.75" thickBot="1" x14ac:dyDescent="0.3">
      <c r="B674" s="16"/>
      <c r="C674" s="12"/>
      <c r="D674" s="12"/>
      <c r="E674" s="12"/>
      <c r="F674" s="12"/>
      <c r="G674" s="12"/>
      <c r="H674" s="12"/>
      <c r="I674" s="9"/>
    </row>
  </sheetData>
  <mergeCells count="4">
    <mergeCell ref="F6:G6"/>
    <mergeCell ref="H6:I6"/>
    <mergeCell ref="B655:H659"/>
    <mergeCell ref="B347:C347"/>
  </mergeCells>
  <pageMargins left="0.5" right="0.5" top="0.5" bottom="0.5" header="0.3" footer="0.3"/>
  <pageSetup scale="1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7" sqref="C17"/>
    </sheetView>
  </sheetViews>
  <sheetFormatPr defaultRowHeight="15" x14ac:dyDescent="0.25"/>
  <cols>
    <col min="2" max="2" width="10.85546875" bestFit="1" customWidth="1"/>
  </cols>
  <sheetData>
    <row r="1" spans="1:3" x14ac:dyDescent="0.25">
      <c r="A1">
        <v>454.8</v>
      </c>
      <c r="B1">
        <v>1980</v>
      </c>
    </row>
    <row r="2" spans="1:3" x14ac:dyDescent="0.25">
      <c r="A2">
        <v>204</v>
      </c>
      <c r="B2">
        <v>1990</v>
      </c>
    </row>
    <row r="3" spans="1:3" x14ac:dyDescent="0.25">
      <c r="A3">
        <v>214.9</v>
      </c>
      <c r="B3">
        <v>2000</v>
      </c>
    </row>
    <row r="4" spans="1:3" x14ac:dyDescent="0.25">
      <c r="A4">
        <v>382.6</v>
      </c>
      <c r="B4">
        <v>2010</v>
      </c>
    </row>
    <row r="5" spans="1:3" x14ac:dyDescent="0.25">
      <c r="A5">
        <v>486.1</v>
      </c>
      <c r="B5">
        <v>2011</v>
      </c>
      <c r="C5">
        <f>(A5-A4)/A4</f>
        <v>0.27051751176163091</v>
      </c>
    </row>
    <row r="6" spans="1:3" x14ac:dyDescent="0.25">
      <c r="A6">
        <v>425.9</v>
      </c>
      <c r="B6">
        <v>2012</v>
      </c>
      <c r="C6">
        <f t="shared" ref="C6:C14" si="0">(A6-A5)/A5</f>
        <v>-0.12384283069327308</v>
      </c>
    </row>
    <row r="7" spans="1:3" x14ac:dyDescent="0.25">
      <c r="A7">
        <v>380.2</v>
      </c>
      <c r="B7">
        <v>2013</v>
      </c>
      <c r="C7">
        <f t="shared" si="0"/>
        <v>-0.10730218361117631</v>
      </c>
    </row>
    <row r="8" spans="1:3" x14ac:dyDescent="0.25">
      <c r="A8">
        <v>334.9</v>
      </c>
      <c r="B8">
        <v>2014</v>
      </c>
      <c r="C8">
        <f t="shared" si="0"/>
        <v>-0.11914781693845349</v>
      </c>
    </row>
    <row r="9" spans="1:3" x14ac:dyDescent="0.25">
      <c r="A9">
        <v>307.8</v>
      </c>
      <c r="B9">
        <v>2015</v>
      </c>
      <c r="C9">
        <f t="shared" si="0"/>
        <v>-8.0919677515676219E-2</v>
      </c>
    </row>
    <row r="10" spans="1:3" x14ac:dyDescent="0.25">
      <c r="A10">
        <v>304.2</v>
      </c>
      <c r="B10">
        <v>2016</v>
      </c>
      <c r="C10">
        <f t="shared" si="0"/>
        <v>-1.1695906432748612E-2</v>
      </c>
    </row>
    <row r="11" spans="1:3" x14ac:dyDescent="0.25">
      <c r="A11">
        <v>301.39999999999998</v>
      </c>
      <c r="B11">
        <v>2017</v>
      </c>
      <c r="C11">
        <f t="shared" si="0"/>
        <v>-9.2044707429323191E-3</v>
      </c>
    </row>
    <row r="12" spans="1:3" x14ac:dyDescent="0.25">
      <c r="A12">
        <v>299.3</v>
      </c>
      <c r="B12">
        <v>2018</v>
      </c>
      <c r="C12">
        <f t="shared" si="0"/>
        <v>-6.967485069674738E-3</v>
      </c>
    </row>
    <row r="13" spans="1:3" x14ac:dyDescent="0.25">
      <c r="A13">
        <v>298</v>
      </c>
      <c r="B13">
        <v>2019</v>
      </c>
      <c r="C13">
        <f t="shared" si="0"/>
        <v>-4.3434680922152065E-3</v>
      </c>
    </row>
    <row r="14" spans="1:3" x14ac:dyDescent="0.25">
      <c r="A14">
        <v>297.3</v>
      </c>
      <c r="B14">
        <v>2020</v>
      </c>
      <c r="C14">
        <f t="shared" si="0"/>
        <v>-2.3489932885905657E-3</v>
      </c>
    </row>
    <row r="15" spans="1:3" x14ac:dyDescent="0.25">
      <c r="A15">
        <v>276.60000000000002</v>
      </c>
      <c r="B15">
        <v>2025</v>
      </c>
    </row>
    <row r="17" spans="3:3" x14ac:dyDescent="0.25">
      <c r="C17">
        <f>AVERAGE(C5:C14)</f>
        <v>-1.952553206231096E-2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
  <sheetViews>
    <sheetView workbookViewId="0">
      <selection activeCell="I16" sqref="I16"/>
    </sheetView>
  </sheetViews>
  <sheetFormatPr defaultRowHeight="15" x14ac:dyDescent="0.25"/>
  <cols>
    <col min="2" max="2" width="23.140625" customWidth="1"/>
    <col min="3" max="3" width="17.5703125" customWidth="1"/>
    <col min="4" max="9" width="18.7109375" customWidth="1"/>
    <col min="10" max="18" width="22" customWidth="1"/>
  </cols>
  <sheetData>
    <row r="2" spans="1:18" x14ac:dyDescent="0.25">
      <c r="A2" s="189"/>
      <c r="B2" s="1" t="s">
        <v>206</v>
      </c>
      <c r="E2" s="163"/>
      <c r="F2" s="163"/>
      <c r="G2" s="163"/>
      <c r="H2" s="163"/>
      <c r="I2" s="163"/>
    </row>
    <row r="3" spans="1:18" ht="15.75" thickBot="1" x14ac:dyDescent="0.3">
      <c r="A3" s="189"/>
      <c r="B3" s="1"/>
      <c r="E3" s="163"/>
      <c r="F3" s="163"/>
      <c r="G3" s="163"/>
      <c r="H3" s="163"/>
      <c r="I3" s="163"/>
    </row>
    <row r="4" spans="1:18" ht="37.5" customHeight="1" x14ac:dyDescent="0.25">
      <c r="C4" s="281" t="s">
        <v>207</v>
      </c>
      <c r="D4" s="282" t="s">
        <v>208</v>
      </c>
      <c r="E4" s="282" t="s">
        <v>209</v>
      </c>
      <c r="F4" s="282" t="s">
        <v>210</v>
      </c>
      <c r="G4" s="282" t="s">
        <v>211</v>
      </c>
      <c r="H4" s="282" t="s">
        <v>212</v>
      </c>
      <c r="I4" s="283" t="s">
        <v>213</v>
      </c>
      <c r="J4" s="284" t="s">
        <v>214</v>
      </c>
      <c r="K4" s="284" t="s">
        <v>215</v>
      </c>
      <c r="L4" s="284" t="s">
        <v>216</v>
      </c>
      <c r="M4" s="284" t="s">
        <v>217</v>
      </c>
      <c r="N4" s="284" t="s">
        <v>218</v>
      </c>
      <c r="O4" s="284" t="s">
        <v>219</v>
      </c>
      <c r="P4" s="284" t="s">
        <v>220</v>
      </c>
      <c r="Q4" s="284" t="s">
        <v>221</v>
      </c>
      <c r="R4" s="285" t="s">
        <v>213</v>
      </c>
    </row>
    <row r="5" spans="1:18" ht="15.75" thickBot="1" x14ac:dyDescent="0.3">
      <c r="C5" s="286">
        <v>2001</v>
      </c>
      <c r="D5" s="287">
        <v>60756400000</v>
      </c>
      <c r="E5" s="287">
        <v>1979030000</v>
      </c>
      <c r="F5" s="287">
        <v>41458700000</v>
      </c>
      <c r="G5" s="287">
        <v>900000</v>
      </c>
      <c r="H5" s="287">
        <v>4254230000</v>
      </c>
      <c r="I5" s="288">
        <f t="shared" ref="I5:I15" si="0">(E5-G5+H5)/(D5+F5)</f>
        <v>6.09729873570539E-2</v>
      </c>
      <c r="J5" s="289"/>
      <c r="K5" s="289"/>
      <c r="L5" s="289" t="s">
        <v>222</v>
      </c>
      <c r="M5" s="289" t="s">
        <v>223</v>
      </c>
      <c r="N5" s="289" t="s">
        <v>224</v>
      </c>
      <c r="O5" s="289" t="s">
        <v>225</v>
      </c>
      <c r="P5" s="289" t="s">
        <v>226</v>
      </c>
      <c r="Q5" s="289" t="s">
        <v>227</v>
      </c>
      <c r="R5" s="290" t="s">
        <v>228</v>
      </c>
    </row>
    <row r="6" spans="1:18" x14ac:dyDescent="0.25">
      <c r="C6" s="286">
        <f t="shared" ref="C6:C13" si="1">C5+1</f>
        <v>2002</v>
      </c>
      <c r="D6" s="287">
        <v>64568700000</v>
      </c>
      <c r="E6" s="287">
        <v>2262950000</v>
      </c>
      <c r="F6" s="287">
        <v>42737600000</v>
      </c>
      <c r="G6" s="287">
        <v>1190000</v>
      </c>
      <c r="H6" s="287">
        <v>8413640000</v>
      </c>
      <c r="I6" s="288">
        <f t="shared" si="0"/>
        <v>9.948530514983743E-2</v>
      </c>
      <c r="J6" s="291"/>
      <c r="K6" s="291"/>
      <c r="L6" s="291">
        <f t="shared" ref="L6:L15" si="2">J6+K6</f>
        <v>0</v>
      </c>
      <c r="M6" s="292">
        <f t="shared" ref="M6:M15" si="3">E6/D6</f>
        <v>3.5047166816119885E-2</v>
      </c>
      <c r="N6" s="291"/>
      <c r="O6" s="291"/>
      <c r="P6" s="292" t="e">
        <f t="shared" ref="P6:P15" si="4">(N6+O6)/L6</f>
        <v>#DIV/0!</v>
      </c>
      <c r="Q6" s="292" t="e">
        <f t="shared" ref="Q6:Q15" si="5">(0.3*M6+0.75)*P6</f>
        <v>#DIV/0!</v>
      </c>
      <c r="R6" s="292" t="e">
        <f t="shared" ref="R6:R15" si="6">Q6+I6</f>
        <v>#DIV/0!</v>
      </c>
    </row>
    <row r="7" spans="1:18" x14ac:dyDescent="0.25">
      <c r="C7" s="286">
        <f t="shared" si="1"/>
        <v>2003</v>
      </c>
      <c r="D7" s="287">
        <v>69941300000</v>
      </c>
      <c r="E7" s="287">
        <v>2383960000</v>
      </c>
      <c r="F7" s="287">
        <v>44857600000</v>
      </c>
      <c r="G7" s="287">
        <v>1040000</v>
      </c>
      <c r="H7" s="287">
        <v>8511610000</v>
      </c>
      <c r="I7" s="288">
        <f t="shared" si="0"/>
        <v>9.4900996438119181E-2</v>
      </c>
      <c r="J7" s="291"/>
      <c r="K7" s="291"/>
      <c r="L7" s="291">
        <f t="shared" si="2"/>
        <v>0</v>
      </c>
      <c r="M7" s="292">
        <f t="shared" si="3"/>
        <v>3.4085154265076571E-2</v>
      </c>
      <c r="N7" s="291"/>
      <c r="O7" s="291"/>
      <c r="P7" s="292" t="e">
        <f t="shared" si="4"/>
        <v>#DIV/0!</v>
      </c>
      <c r="Q7" s="292" t="e">
        <f t="shared" si="5"/>
        <v>#DIV/0!</v>
      </c>
      <c r="R7" s="292" t="e">
        <f t="shared" si="6"/>
        <v>#DIV/0!</v>
      </c>
    </row>
    <row r="8" spans="1:18" x14ac:dyDescent="0.25">
      <c r="C8" s="286">
        <f t="shared" si="1"/>
        <v>2004</v>
      </c>
      <c r="D8" s="287">
        <v>80180300000</v>
      </c>
      <c r="E8" s="287">
        <v>2427090000</v>
      </c>
      <c r="F8" s="287">
        <v>51372200000</v>
      </c>
      <c r="G8" s="287">
        <v>1000000</v>
      </c>
      <c r="H8" s="287">
        <v>8247160000</v>
      </c>
      <c r="I8" s="288">
        <f t="shared" si="0"/>
        <v>8.1133007734554646E-2</v>
      </c>
      <c r="J8" s="291"/>
      <c r="K8" s="291"/>
      <c r="L8" s="291">
        <f t="shared" si="2"/>
        <v>0</v>
      </c>
      <c r="M8" s="292">
        <f t="shared" si="3"/>
        <v>3.0270403079060568E-2</v>
      </c>
      <c r="N8" s="291"/>
      <c r="O8" s="291"/>
      <c r="P8" s="292" t="e">
        <f t="shared" si="4"/>
        <v>#DIV/0!</v>
      </c>
      <c r="Q8" s="292" t="e">
        <f t="shared" si="5"/>
        <v>#DIV/0!</v>
      </c>
      <c r="R8" s="292" t="e">
        <f t="shared" si="6"/>
        <v>#DIV/0!</v>
      </c>
    </row>
    <row r="9" spans="1:18" x14ac:dyDescent="0.25">
      <c r="C9" s="286">
        <f t="shared" si="1"/>
        <v>2005</v>
      </c>
      <c r="D9" s="287">
        <v>85156300000</v>
      </c>
      <c r="E9" s="287">
        <v>3714500000</v>
      </c>
      <c r="F9" s="287">
        <v>52045800000</v>
      </c>
      <c r="G9" s="287">
        <v>930000</v>
      </c>
      <c r="H9" s="287">
        <v>6487750000</v>
      </c>
      <c r="I9" s="288">
        <f t="shared" si="0"/>
        <v>7.4352506266303506E-2</v>
      </c>
      <c r="J9" s="291"/>
      <c r="K9" s="291"/>
      <c r="L9" s="291">
        <f t="shared" si="2"/>
        <v>0</v>
      </c>
      <c r="M9" s="292">
        <f t="shared" si="3"/>
        <v>4.3619790902141124E-2</v>
      </c>
      <c r="N9" s="291"/>
      <c r="O9" s="291"/>
      <c r="P9" s="292" t="e">
        <f t="shared" si="4"/>
        <v>#DIV/0!</v>
      </c>
      <c r="Q9" s="292" t="e">
        <f t="shared" si="5"/>
        <v>#DIV/0!</v>
      </c>
      <c r="R9" s="292" t="e">
        <f t="shared" si="6"/>
        <v>#DIV/0!</v>
      </c>
    </row>
    <row r="10" spans="1:18" x14ac:dyDescent="0.25">
      <c r="C10" s="286">
        <f t="shared" si="1"/>
        <v>2006</v>
      </c>
      <c r="D10" s="287">
        <v>96270200000</v>
      </c>
      <c r="E10" s="287">
        <v>2603500000</v>
      </c>
      <c r="F10" s="287">
        <v>57302100000</v>
      </c>
      <c r="G10" s="287"/>
      <c r="H10" s="287">
        <v>11057000000</v>
      </c>
      <c r="I10" s="288">
        <f t="shared" si="0"/>
        <v>8.8951588274708393E-2</v>
      </c>
      <c r="J10" s="291"/>
      <c r="K10" s="291"/>
      <c r="L10" s="291">
        <f t="shared" si="2"/>
        <v>0</v>
      </c>
      <c r="M10" s="292">
        <f t="shared" si="3"/>
        <v>2.7043674989768382E-2</v>
      </c>
      <c r="N10" s="291"/>
      <c r="O10" s="291"/>
      <c r="P10" s="292" t="e">
        <f t="shared" si="4"/>
        <v>#DIV/0!</v>
      </c>
      <c r="Q10" s="292" t="e">
        <f t="shared" si="5"/>
        <v>#DIV/0!</v>
      </c>
      <c r="R10" s="292" t="e">
        <f t="shared" si="6"/>
        <v>#DIV/0!</v>
      </c>
    </row>
    <row r="11" spans="1:18" x14ac:dyDescent="0.25">
      <c r="C11" s="286">
        <f t="shared" si="1"/>
        <v>2007</v>
      </c>
      <c r="D11" s="287">
        <v>110811500000</v>
      </c>
      <c r="E11" s="287">
        <v>2653900000</v>
      </c>
      <c r="F11" s="287">
        <v>66919700000</v>
      </c>
      <c r="G11" s="287"/>
      <c r="H11" s="287">
        <v>11852800000</v>
      </c>
      <c r="I11" s="288">
        <f t="shared" si="0"/>
        <v>8.1621572351956218E-2</v>
      </c>
      <c r="J11" s="291"/>
      <c r="K11" s="291"/>
      <c r="L11" s="291">
        <f t="shared" si="2"/>
        <v>0</v>
      </c>
      <c r="M11" s="292">
        <f t="shared" si="3"/>
        <v>2.3949680312963906E-2</v>
      </c>
      <c r="N11" s="291"/>
      <c r="O11" s="291"/>
      <c r="P11" s="292" t="e">
        <f t="shared" si="4"/>
        <v>#DIV/0!</v>
      </c>
      <c r="Q11" s="292" t="e">
        <f t="shared" si="5"/>
        <v>#DIV/0!</v>
      </c>
      <c r="R11" s="292" t="e">
        <f t="shared" si="6"/>
        <v>#DIV/0!</v>
      </c>
    </row>
    <row r="12" spans="1:18" x14ac:dyDescent="0.25">
      <c r="C12" s="286">
        <f t="shared" si="1"/>
        <v>2008</v>
      </c>
      <c r="D12" s="287">
        <v>116594000000</v>
      </c>
      <c r="E12" s="287">
        <v>2427200000</v>
      </c>
      <c r="F12" s="287">
        <v>73134300000</v>
      </c>
      <c r="G12" s="287"/>
      <c r="H12" s="287">
        <v>12757100000</v>
      </c>
      <c r="I12" s="288">
        <f t="shared" si="0"/>
        <v>8.0031813914951011E-2</v>
      </c>
      <c r="J12" s="291"/>
      <c r="K12" s="291"/>
      <c r="L12" s="291">
        <f t="shared" si="2"/>
        <v>0</v>
      </c>
      <c r="M12" s="292">
        <f t="shared" si="3"/>
        <v>2.081753778067482E-2</v>
      </c>
      <c r="N12" s="291"/>
      <c r="O12" s="291"/>
      <c r="P12" s="292" t="e">
        <f t="shared" si="4"/>
        <v>#DIV/0!</v>
      </c>
      <c r="Q12" s="292" t="e">
        <f t="shared" si="5"/>
        <v>#DIV/0!</v>
      </c>
      <c r="R12" s="292" t="e">
        <f t="shared" si="6"/>
        <v>#DIV/0!</v>
      </c>
    </row>
    <row r="13" spans="1:18" x14ac:dyDescent="0.25">
      <c r="C13" s="286">
        <f t="shared" si="1"/>
        <v>2009</v>
      </c>
      <c r="D13" s="287">
        <v>102031200000</v>
      </c>
      <c r="E13" s="287">
        <v>2138842258.5599999</v>
      </c>
      <c r="F13" s="287">
        <v>73836200000</v>
      </c>
      <c r="G13" s="287"/>
      <c r="H13" s="287">
        <v>12489947402.779999</v>
      </c>
      <c r="I13" s="288">
        <f t="shared" si="0"/>
        <v>8.3180792240858725E-2</v>
      </c>
      <c r="J13" s="291"/>
      <c r="K13" s="291"/>
      <c r="L13" s="291">
        <f t="shared" si="2"/>
        <v>0</v>
      </c>
      <c r="M13" s="292">
        <f t="shared" si="3"/>
        <v>2.0962629652106414E-2</v>
      </c>
      <c r="N13" s="291"/>
      <c r="O13" s="291"/>
      <c r="P13" s="292" t="e">
        <f t="shared" si="4"/>
        <v>#DIV/0!</v>
      </c>
      <c r="Q13" s="292" t="e">
        <f t="shared" si="5"/>
        <v>#DIV/0!</v>
      </c>
      <c r="R13" s="292" t="e">
        <f t="shared" si="6"/>
        <v>#DIV/0!</v>
      </c>
    </row>
    <row r="14" spans="1:18" x14ac:dyDescent="0.25">
      <c r="C14" s="293">
        <v>2010</v>
      </c>
      <c r="D14" s="294">
        <v>120819100000</v>
      </c>
      <c r="E14" s="294">
        <v>2367704325.27</v>
      </c>
      <c r="F14" s="294">
        <v>85947600000</v>
      </c>
      <c r="G14" s="294"/>
      <c r="H14" s="294">
        <v>13337122655.269999</v>
      </c>
      <c r="I14" s="295">
        <f t="shared" si="0"/>
        <v>7.5954333945166208E-2</v>
      </c>
      <c r="J14" s="291"/>
      <c r="K14" s="291"/>
      <c r="L14" s="291">
        <f t="shared" si="2"/>
        <v>0</v>
      </c>
      <c r="M14" s="292">
        <f t="shared" si="3"/>
        <v>1.9597102819587299E-2</v>
      </c>
      <c r="N14" s="291"/>
      <c r="O14" s="291"/>
      <c r="P14" s="292" t="e">
        <f t="shared" si="4"/>
        <v>#DIV/0!</v>
      </c>
      <c r="Q14" s="292" t="e">
        <f t="shared" si="5"/>
        <v>#DIV/0!</v>
      </c>
      <c r="R14" s="292" t="e">
        <f t="shared" si="6"/>
        <v>#DIV/0!</v>
      </c>
    </row>
    <row r="15" spans="1:18" ht="15.75" thickBot="1" x14ac:dyDescent="0.3">
      <c r="C15" s="296">
        <v>2011</v>
      </c>
      <c r="D15" s="297">
        <v>138349600000</v>
      </c>
      <c r="E15" s="297"/>
      <c r="F15" s="297">
        <v>99103600000</v>
      </c>
      <c r="G15" s="297"/>
      <c r="H15" s="297"/>
      <c r="I15" s="298">
        <f t="shared" si="0"/>
        <v>0</v>
      </c>
      <c r="J15" s="299"/>
      <c r="K15" s="299"/>
      <c r="L15" s="299">
        <f t="shared" si="2"/>
        <v>0</v>
      </c>
      <c r="M15" s="300">
        <f t="shared" si="3"/>
        <v>0</v>
      </c>
      <c r="N15" s="299"/>
      <c r="O15" s="299"/>
      <c r="P15" s="300" t="e">
        <f t="shared" si="4"/>
        <v>#DIV/0!</v>
      </c>
      <c r="Q15" s="300" t="e">
        <f t="shared" si="5"/>
        <v>#DIV/0!</v>
      </c>
      <c r="R15" s="300" t="e">
        <f t="shared" si="6"/>
        <v>#DIV/0!</v>
      </c>
    </row>
    <row r="16" spans="1:18" x14ac:dyDescent="0.25">
      <c r="H16" s="301" t="s">
        <v>229</v>
      </c>
      <c r="I16" s="302">
        <f>AVERAGE(I10:I14)</f>
        <v>8.1948020145528114E-2</v>
      </c>
    </row>
    <row r="18" spans="3:10" x14ac:dyDescent="0.25">
      <c r="C18" t="s">
        <v>230</v>
      </c>
      <c r="D18" t="s">
        <v>231</v>
      </c>
      <c r="E18" t="s">
        <v>231</v>
      </c>
      <c r="F18" t="s">
        <v>231</v>
      </c>
      <c r="G18" t="s">
        <v>231</v>
      </c>
    </row>
    <row r="19" spans="3:10" ht="45" x14ac:dyDescent="0.25">
      <c r="C19" s="303" t="s">
        <v>232</v>
      </c>
      <c r="D19" s="304" t="s">
        <v>233</v>
      </c>
      <c r="E19" s="304" t="s">
        <v>234</v>
      </c>
      <c r="F19" s="304" t="s">
        <v>235</v>
      </c>
      <c r="G19" s="304" t="s">
        <v>236</v>
      </c>
      <c r="H19" s="304" t="s">
        <v>237</v>
      </c>
      <c r="J19" s="305" t="s">
        <v>238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EXTENSION</vt:lpstr>
      <vt:lpstr>Sheet2</vt:lpstr>
      <vt:lpstr>FEP Calculation</vt:lpstr>
      <vt:lpstr>EXTENSION!Print_Area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tdivincenzo</cp:lastModifiedBy>
  <cp:lastPrinted>2011-11-17T18:54:57Z</cp:lastPrinted>
  <dcterms:created xsi:type="dcterms:W3CDTF">2011-09-26T19:02:08Z</dcterms:created>
  <dcterms:modified xsi:type="dcterms:W3CDTF">2013-10-01T23:00:10Z</dcterms:modified>
</cp:coreProperties>
</file>